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<sst xmlns="http://schemas.openxmlformats.org/spreadsheetml/2006/main" count="186" uniqueCount="44">
  <si>
    <t>Прайс-лист</t>
  </si>
  <si>
    <t>ИП Мастеров Сергей Николаевич ИНН 181302504296</t>
  </si>
  <si>
    <t>В валютах цен.</t>
  </si>
  <si>
    <t>Цены указаны на 10.05.2024</t>
  </si>
  <si>
    <t>Ценовая группа/ Номенклатура/ Характеристика номенклатуры</t>
  </si>
  <si>
    <t>Остаток</t>
  </si>
  <si>
    <t>Номенклатура.Код</t>
  </si>
  <si>
    <t>Оптовая</t>
  </si>
  <si>
    <t>Изображение</t>
  </si>
  <si>
    <t>Цена</t>
  </si>
  <si>
    <t>Ед.</t>
  </si>
  <si>
    <t>Заказ (кол-во)</t>
  </si>
  <si>
    <t>Заказ (сумма)</t>
  </si>
  <si>
    <t>Видеонаблюдение</t>
  </si>
  <si>
    <t>1.DAHUA</t>
  </si>
  <si>
    <t>1.Видеорегистраторы XVR</t>
  </si>
  <si>
    <t>шт</t>
  </si>
  <si>
    <t>2.Камеры CVI</t>
  </si>
  <si>
    <t>3.Видеорегистраторы NVR</t>
  </si>
  <si>
    <t>4.Камеры IP</t>
  </si>
  <si>
    <t>EZ-IP</t>
  </si>
  <si>
    <t>2,Камеры HD-CVI</t>
  </si>
  <si>
    <t>3.Видеорегистраторы NVR</t>
  </si>
  <si>
    <t>4.Камеры IP</t>
  </si>
  <si>
    <t>IMOU</t>
  </si>
  <si>
    <t>Домофония</t>
  </si>
  <si>
    <t>3.HiWatch</t>
  </si>
  <si>
    <t>4.HDD</t>
  </si>
  <si>
    <t>5.IP оборудование</t>
  </si>
  <si>
    <t>Коммутаторы</t>
  </si>
  <si>
    <t>6.Домофоны TANTOS</t>
  </si>
  <si>
    <t>7.Домофоны CTV</t>
  </si>
  <si>
    <t>8.Блоки питания и АКБ</t>
  </si>
  <si>
    <t>9.Кабель</t>
  </si>
  <si>
    <t>м</t>
  </si>
  <si>
    <t>91.Разъёмы, переходники</t>
  </si>
  <si>
    <t>92.Контроль доступа</t>
  </si>
  <si>
    <t>Электрозамки, электрозащёлки</t>
  </si>
  <si>
    <t>93.Сопутствующие</t>
  </si>
  <si>
    <t>AHD</t>
  </si>
  <si>
    <t>AHD регистраторы</t>
  </si>
  <si>
    <t>Распродажа</t>
  </si>
  <si>
    <t>Заказано</t>
  </si>
  <si>
    <t>На сумму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</si>
</sst>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;[Red]\-0.000"/>
    <numFmt numFmtId="165" formatCode="00000000000;[Red]\-00000000000"/>
    <numFmt numFmtId="166" formatCode="#,##0.00&quot; RUB&quot;"/>
    <numFmt numFmtId="167" formatCode="0.00&quot; RUB&quot;"/>
    <numFmt numFmtId="168" formatCode="#,##0.000;[Red]\-#,##0.000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 wrapText="1"/>
    </xf>
    <xf numFmtId="0" fontId="5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 wrapText="1"/>
    </xf>
    <xf numFmtId="0" fontId="5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right" vertical="top"/>
    </xf>
    <xf numFmtId="0" fontId="6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right" vertical="top" wrapText="1"/>
    </xf>
    <xf numFmtId="164" fontId="0" fillId="37" borderId="10" xfId="0" applyNumberFormat="1" applyFill="1" applyBorder="1" applyAlignment="1">
      <alignment horizontal="right" vertical="top"/>
    </xf>
    <xf numFmtId="165" fontId="0" fillId="37" borderId="10" xfId="0" applyNumberFormat="1" applyFill="1" applyBorder="1" applyAlignment="1">
      <alignment horizontal="left" vertical="top" wrapText="1"/>
    </xf>
    <xf numFmtId="166" fontId="0" fillId="37" borderId="10" xfId="0" applyNumberFormat="1" applyFill="1" applyBorder="1" applyAlignment="1">
      <alignment horizontal="right" vertical="top" wrapText="1"/>
    </xf>
    <xf numFmtId="0" fontId="0" fillId="37" borderId="10" xfId="0" applyFill="1" applyBorder="1" applyAlignment="1">
      <alignment horizontal="right" vertical="top" wrapText="1"/>
    </xf>
    <xf numFmtId="167" fontId="0" fillId="37" borderId="10" xfId="0" applyNumberFormat="1" applyFill="1" applyBorder="1" applyAlignment="1">
      <alignment horizontal="right" vertical="top" wrapText="1"/>
    </xf>
    <xf numFmtId="0" fontId="5" fillId="38" borderId="10" xfId="0" applyFont="1" applyFill="1" applyBorder="1" applyAlignment="1">
      <alignment horizontal="left" vertical="top" wrapText="1"/>
    </xf>
    <xf numFmtId="0" fontId="6" fillId="38" borderId="10" xfId="0" applyFont="1" applyFill="1" applyBorder="1" applyAlignment="1">
      <alignment horizontal="right" vertical="top"/>
    </xf>
    <xf numFmtId="0" fontId="6" fillId="38" borderId="10" xfId="0" applyFont="1" applyFill="1" applyBorder="1" applyAlignment="1">
      <alignment horizontal="left" vertical="top" wrapText="1"/>
    </xf>
    <xf numFmtId="0" fontId="6" fillId="38" borderId="10" xfId="0" applyFont="1" applyFill="1" applyBorder="1" applyAlignment="1">
      <alignment horizontal="right" vertical="top" wrapText="1"/>
    </xf>
    <xf numFmtId="168" fontId="0" fillId="37" borderId="10" xfId="0" applyNumberFormat="1" applyFill="1" applyBorder="1" applyAlignment="1">
      <alignment horizontal="right" vertical="top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6" fillId="34" borderId="10" xfId="0" applyFont="1" applyFill="1" applyBorder="1" applyAlignment="1" applyProtection="1">
      <alignment horizontal="right" vertical="top" wrapText="1"/>
      <protection locked="0"/>
    </xf>
    <xf numFmtId="0" fontId="6" fillId="35" borderId="10" xfId="0" applyFont="1" applyFill="1" applyBorder="1" applyAlignment="1" applyProtection="1">
      <alignment horizontal="right" vertical="top" wrapText="1"/>
      <protection locked="0"/>
    </xf>
    <xf numFmtId="0" fontId="6" fillId="36" borderId="10" xfId="0" applyFont="1" applyFill="1" applyBorder="1" applyAlignment="1" applyProtection="1">
      <alignment horizontal="right" vertical="top" wrapText="1"/>
      <protection locked="0"/>
    </xf>
    <xf numFmtId="0" fontId="29" fillId="37" borderId="10" xfId="42" applyFill="1" applyBorder="1" applyAlignment="1">
      <alignment horizontal="left" vertical="top" wrapText="1"/>
    </xf>
    <xf numFmtId="0" fontId="0" fillId="37" borderId="10" xfId="0" applyFill="1" applyBorder="1" applyAlignment="1" applyProtection="1">
      <alignment horizontal="right" vertical="top" wrapText="1"/>
      <protection locked="0"/>
    </xf>
    <xf numFmtId="0" fontId="6" fillId="38" borderId="10" xfId="0" applyFont="1" applyFill="1" applyBorder="1" applyAlignment="1" applyProtection="1">
      <alignment horizontal="right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Relationship Id="rId103" Type="http://schemas.openxmlformats.org/officeDocument/2006/relationships/image" Target="../media/image103.png" /><Relationship Id="rId104" Type="http://schemas.openxmlformats.org/officeDocument/2006/relationships/image" Target="../media/image104.png" /><Relationship Id="rId105" Type="http://schemas.openxmlformats.org/officeDocument/2006/relationships/image" Target="../media/image105.png" /><Relationship Id="rId106" Type="http://schemas.openxmlformats.org/officeDocument/2006/relationships/image" Target="../media/image106.png" /><Relationship Id="rId107" Type="http://schemas.openxmlformats.org/officeDocument/2006/relationships/image" Target="../media/image107.png" /><Relationship Id="rId108" Type="http://schemas.openxmlformats.org/officeDocument/2006/relationships/image" Target="../media/image108.png" /><Relationship Id="rId109" Type="http://schemas.openxmlformats.org/officeDocument/2006/relationships/image" Target="../media/image109.png" /><Relationship Id="rId110" Type="http://schemas.openxmlformats.org/officeDocument/2006/relationships/image" Target="../media/image110.png" /><Relationship Id="rId111" Type="http://schemas.openxmlformats.org/officeDocument/2006/relationships/image" Target="../media/image111.png" /><Relationship Id="rId112" Type="http://schemas.openxmlformats.org/officeDocument/2006/relationships/image" Target="../media/image112.png" /><Relationship Id="rId113" Type="http://schemas.openxmlformats.org/officeDocument/2006/relationships/image" Target="../media/image113.png" /><Relationship Id="rId114" Type="http://schemas.openxmlformats.org/officeDocument/2006/relationships/image" Target="../media/image114.png" /><Relationship Id="rId115" Type="http://schemas.openxmlformats.org/officeDocument/2006/relationships/image" Target="../media/image115.png" /><Relationship Id="rId116" Type="http://schemas.openxmlformats.org/officeDocument/2006/relationships/image" Target="../media/image116.png" /><Relationship Id="rId117" Type="http://schemas.openxmlformats.org/officeDocument/2006/relationships/image" Target="../media/image117.png" /><Relationship Id="rId118" Type="http://schemas.openxmlformats.org/officeDocument/2006/relationships/image" Target="../media/image118.png" /><Relationship Id="rId119" Type="http://schemas.openxmlformats.org/officeDocument/2006/relationships/image" Target="../media/image119.png" /><Relationship Id="rId120" Type="http://schemas.openxmlformats.org/officeDocument/2006/relationships/image" Target="../media/image120.png" /><Relationship Id="rId121" Type="http://schemas.openxmlformats.org/officeDocument/2006/relationships/image" Target="../media/image121.png" /><Relationship Id="rId122" Type="http://schemas.openxmlformats.org/officeDocument/2006/relationships/image" Target="../media/image122.png" /><Relationship Id="rId123" Type="http://schemas.openxmlformats.org/officeDocument/2006/relationships/image" Target="../media/image123.png" /><Relationship Id="rId124" Type="http://schemas.openxmlformats.org/officeDocument/2006/relationships/image" Target="../media/image124.png" /><Relationship Id="rId125" Type="http://schemas.openxmlformats.org/officeDocument/2006/relationships/image" Target="../media/image125.png" /><Relationship Id="rId126" Type="http://schemas.openxmlformats.org/officeDocument/2006/relationships/image" Target="../media/image126.png" /><Relationship Id="rId127" Type="http://schemas.openxmlformats.org/officeDocument/2006/relationships/image" Target="../media/image127.png" /><Relationship Id="rId128" Type="http://schemas.openxmlformats.org/officeDocument/2006/relationships/image" Target="../media/image128.png" /><Relationship Id="rId129" Type="http://schemas.openxmlformats.org/officeDocument/2006/relationships/image" Target="../media/image129.png" /><Relationship Id="rId130" Type="http://schemas.openxmlformats.org/officeDocument/2006/relationships/image" Target="../media/image1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15</xdr:row>
      <xdr:rowOff>28575</xdr:rowOff>
    </xdr:from>
    <xdr:to>
      <xdr:col>9</xdr:col>
      <xdr:colOff>533400</xdr:colOff>
      <xdr:row>15</xdr:row>
      <xdr:rowOff>723900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3295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16</xdr:row>
      <xdr:rowOff>28575</xdr:rowOff>
    </xdr:from>
    <xdr:to>
      <xdr:col>9</xdr:col>
      <xdr:colOff>533400</xdr:colOff>
      <xdr:row>16</xdr:row>
      <xdr:rowOff>723900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40767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17</xdr:row>
      <xdr:rowOff>28575</xdr:rowOff>
    </xdr:from>
    <xdr:to>
      <xdr:col>9</xdr:col>
      <xdr:colOff>533400</xdr:colOff>
      <xdr:row>17</xdr:row>
      <xdr:rowOff>723900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8577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18</xdr:row>
      <xdr:rowOff>28575</xdr:rowOff>
    </xdr:from>
    <xdr:to>
      <xdr:col>9</xdr:col>
      <xdr:colOff>533400</xdr:colOff>
      <xdr:row>18</xdr:row>
      <xdr:rowOff>723900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62925" y="56388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19</xdr:row>
      <xdr:rowOff>28575</xdr:rowOff>
    </xdr:from>
    <xdr:to>
      <xdr:col>9</xdr:col>
      <xdr:colOff>533400</xdr:colOff>
      <xdr:row>19</xdr:row>
      <xdr:rowOff>723900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62925" y="64198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20</xdr:row>
      <xdr:rowOff>28575</xdr:rowOff>
    </xdr:from>
    <xdr:to>
      <xdr:col>9</xdr:col>
      <xdr:colOff>533400</xdr:colOff>
      <xdr:row>20</xdr:row>
      <xdr:rowOff>723900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72009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22</xdr:row>
      <xdr:rowOff>28575</xdr:rowOff>
    </xdr:from>
    <xdr:to>
      <xdr:col>9</xdr:col>
      <xdr:colOff>533400</xdr:colOff>
      <xdr:row>22</xdr:row>
      <xdr:rowOff>723900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62925" y="8134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23</xdr:row>
      <xdr:rowOff>28575</xdr:rowOff>
    </xdr:from>
    <xdr:to>
      <xdr:col>9</xdr:col>
      <xdr:colOff>533400</xdr:colOff>
      <xdr:row>23</xdr:row>
      <xdr:rowOff>723900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62925" y="89154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24</xdr:row>
      <xdr:rowOff>28575</xdr:rowOff>
    </xdr:from>
    <xdr:to>
      <xdr:col>9</xdr:col>
      <xdr:colOff>533400</xdr:colOff>
      <xdr:row>24</xdr:row>
      <xdr:rowOff>723900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62925" y="96964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25</xdr:row>
      <xdr:rowOff>28575</xdr:rowOff>
    </xdr:from>
    <xdr:to>
      <xdr:col>9</xdr:col>
      <xdr:colOff>533400</xdr:colOff>
      <xdr:row>25</xdr:row>
      <xdr:rowOff>723900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62925" y="104775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26</xdr:row>
      <xdr:rowOff>28575</xdr:rowOff>
    </xdr:from>
    <xdr:to>
      <xdr:col>9</xdr:col>
      <xdr:colOff>533400</xdr:colOff>
      <xdr:row>26</xdr:row>
      <xdr:rowOff>723900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62925" y="112585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27</xdr:row>
      <xdr:rowOff>28575</xdr:rowOff>
    </xdr:from>
    <xdr:to>
      <xdr:col>9</xdr:col>
      <xdr:colOff>533400</xdr:colOff>
      <xdr:row>27</xdr:row>
      <xdr:rowOff>723900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62925" y="120396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28</xdr:row>
      <xdr:rowOff>28575</xdr:rowOff>
    </xdr:from>
    <xdr:to>
      <xdr:col>9</xdr:col>
      <xdr:colOff>533400</xdr:colOff>
      <xdr:row>28</xdr:row>
      <xdr:rowOff>723900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12820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29</xdr:row>
      <xdr:rowOff>28575</xdr:rowOff>
    </xdr:from>
    <xdr:to>
      <xdr:col>9</xdr:col>
      <xdr:colOff>533400</xdr:colOff>
      <xdr:row>29</xdr:row>
      <xdr:rowOff>723900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62925" y="136017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30</xdr:row>
      <xdr:rowOff>28575</xdr:rowOff>
    </xdr:from>
    <xdr:to>
      <xdr:col>9</xdr:col>
      <xdr:colOff>533400</xdr:colOff>
      <xdr:row>30</xdr:row>
      <xdr:rowOff>723900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62925" y="143827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31</xdr:row>
      <xdr:rowOff>28575</xdr:rowOff>
    </xdr:from>
    <xdr:to>
      <xdr:col>9</xdr:col>
      <xdr:colOff>533400</xdr:colOff>
      <xdr:row>31</xdr:row>
      <xdr:rowOff>723900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62925" y="151638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32</xdr:row>
      <xdr:rowOff>28575</xdr:rowOff>
    </xdr:from>
    <xdr:to>
      <xdr:col>9</xdr:col>
      <xdr:colOff>533400</xdr:colOff>
      <xdr:row>32</xdr:row>
      <xdr:rowOff>723900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162925" y="159448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33</xdr:row>
      <xdr:rowOff>28575</xdr:rowOff>
    </xdr:from>
    <xdr:to>
      <xdr:col>9</xdr:col>
      <xdr:colOff>533400</xdr:colOff>
      <xdr:row>33</xdr:row>
      <xdr:rowOff>723900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162925" y="167259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34</xdr:row>
      <xdr:rowOff>28575</xdr:rowOff>
    </xdr:from>
    <xdr:to>
      <xdr:col>9</xdr:col>
      <xdr:colOff>533400</xdr:colOff>
      <xdr:row>34</xdr:row>
      <xdr:rowOff>723900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162925" y="175069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35</xdr:row>
      <xdr:rowOff>28575</xdr:rowOff>
    </xdr:from>
    <xdr:to>
      <xdr:col>9</xdr:col>
      <xdr:colOff>533400</xdr:colOff>
      <xdr:row>35</xdr:row>
      <xdr:rowOff>723900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162925" y="182880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36</xdr:row>
      <xdr:rowOff>28575</xdr:rowOff>
    </xdr:from>
    <xdr:to>
      <xdr:col>9</xdr:col>
      <xdr:colOff>533400</xdr:colOff>
      <xdr:row>36</xdr:row>
      <xdr:rowOff>723900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162925" y="190690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37</xdr:row>
      <xdr:rowOff>28575</xdr:rowOff>
    </xdr:from>
    <xdr:to>
      <xdr:col>9</xdr:col>
      <xdr:colOff>533400</xdr:colOff>
      <xdr:row>37</xdr:row>
      <xdr:rowOff>723900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162925" y="198501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39</xdr:row>
      <xdr:rowOff>28575</xdr:rowOff>
    </xdr:from>
    <xdr:to>
      <xdr:col>9</xdr:col>
      <xdr:colOff>533400</xdr:colOff>
      <xdr:row>39</xdr:row>
      <xdr:rowOff>723900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162925" y="207835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40</xdr:row>
      <xdr:rowOff>28575</xdr:rowOff>
    </xdr:from>
    <xdr:to>
      <xdr:col>9</xdr:col>
      <xdr:colOff>533400</xdr:colOff>
      <xdr:row>40</xdr:row>
      <xdr:rowOff>723900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162925" y="215646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41</xdr:row>
      <xdr:rowOff>28575</xdr:rowOff>
    </xdr:from>
    <xdr:to>
      <xdr:col>9</xdr:col>
      <xdr:colOff>533400</xdr:colOff>
      <xdr:row>41</xdr:row>
      <xdr:rowOff>723900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162925" y="22345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42</xdr:row>
      <xdr:rowOff>28575</xdr:rowOff>
    </xdr:from>
    <xdr:to>
      <xdr:col>9</xdr:col>
      <xdr:colOff>533400</xdr:colOff>
      <xdr:row>42</xdr:row>
      <xdr:rowOff>723900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62925" y="231267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44</xdr:row>
      <xdr:rowOff>28575</xdr:rowOff>
    </xdr:from>
    <xdr:to>
      <xdr:col>9</xdr:col>
      <xdr:colOff>533400</xdr:colOff>
      <xdr:row>44</xdr:row>
      <xdr:rowOff>723900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162925" y="240601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45</xdr:row>
      <xdr:rowOff>28575</xdr:rowOff>
    </xdr:from>
    <xdr:to>
      <xdr:col>9</xdr:col>
      <xdr:colOff>533400</xdr:colOff>
      <xdr:row>45</xdr:row>
      <xdr:rowOff>723900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162925" y="248412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46</xdr:row>
      <xdr:rowOff>28575</xdr:rowOff>
    </xdr:from>
    <xdr:to>
      <xdr:col>9</xdr:col>
      <xdr:colOff>533400</xdr:colOff>
      <xdr:row>46</xdr:row>
      <xdr:rowOff>723900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162925" y="256222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47</xdr:row>
      <xdr:rowOff>28575</xdr:rowOff>
    </xdr:from>
    <xdr:to>
      <xdr:col>9</xdr:col>
      <xdr:colOff>533400</xdr:colOff>
      <xdr:row>47</xdr:row>
      <xdr:rowOff>723900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162925" y="264033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48</xdr:row>
      <xdr:rowOff>28575</xdr:rowOff>
    </xdr:from>
    <xdr:to>
      <xdr:col>9</xdr:col>
      <xdr:colOff>533400</xdr:colOff>
      <xdr:row>48</xdr:row>
      <xdr:rowOff>723900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162925" y="27184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49</xdr:row>
      <xdr:rowOff>28575</xdr:rowOff>
    </xdr:from>
    <xdr:to>
      <xdr:col>9</xdr:col>
      <xdr:colOff>533400</xdr:colOff>
      <xdr:row>49</xdr:row>
      <xdr:rowOff>723900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162925" y="279654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50</xdr:row>
      <xdr:rowOff>28575</xdr:rowOff>
    </xdr:from>
    <xdr:to>
      <xdr:col>9</xdr:col>
      <xdr:colOff>533400</xdr:colOff>
      <xdr:row>50</xdr:row>
      <xdr:rowOff>723900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162925" y="287464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51</xdr:row>
      <xdr:rowOff>28575</xdr:rowOff>
    </xdr:from>
    <xdr:to>
      <xdr:col>9</xdr:col>
      <xdr:colOff>533400</xdr:colOff>
      <xdr:row>51</xdr:row>
      <xdr:rowOff>723900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162925" y="295275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52</xdr:row>
      <xdr:rowOff>28575</xdr:rowOff>
    </xdr:from>
    <xdr:to>
      <xdr:col>9</xdr:col>
      <xdr:colOff>533400</xdr:colOff>
      <xdr:row>52</xdr:row>
      <xdr:rowOff>723900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162925" y="303085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55</xdr:row>
      <xdr:rowOff>28575</xdr:rowOff>
    </xdr:from>
    <xdr:to>
      <xdr:col>9</xdr:col>
      <xdr:colOff>533400</xdr:colOff>
      <xdr:row>55</xdr:row>
      <xdr:rowOff>723900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162925" y="313944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56</xdr:row>
      <xdr:rowOff>28575</xdr:rowOff>
    </xdr:from>
    <xdr:to>
      <xdr:col>9</xdr:col>
      <xdr:colOff>533400</xdr:colOff>
      <xdr:row>56</xdr:row>
      <xdr:rowOff>723900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162925" y="321754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57</xdr:row>
      <xdr:rowOff>28575</xdr:rowOff>
    </xdr:from>
    <xdr:to>
      <xdr:col>9</xdr:col>
      <xdr:colOff>533400</xdr:colOff>
      <xdr:row>57</xdr:row>
      <xdr:rowOff>723900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162925" y="329565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59</xdr:row>
      <xdr:rowOff>28575</xdr:rowOff>
    </xdr:from>
    <xdr:to>
      <xdr:col>9</xdr:col>
      <xdr:colOff>533400</xdr:colOff>
      <xdr:row>59</xdr:row>
      <xdr:rowOff>723900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162925" y="338899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61</xdr:row>
      <xdr:rowOff>28575</xdr:rowOff>
    </xdr:from>
    <xdr:to>
      <xdr:col>9</xdr:col>
      <xdr:colOff>533400</xdr:colOff>
      <xdr:row>61</xdr:row>
      <xdr:rowOff>723900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162925" y="348234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62</xdr:row>
      <xdr:rowOff>28575</xdr:rowOff>
    </xdr:from>
    <xdr:to>
      <xdr:col>9</xdr:col>
      <xdr:colOff>533400</xdr:colOff>
      <xdr:row>62</xdr:row>
      <xdr:rowOff>723900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162925" y="356044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63</xdr:row>
      <xdr:rowOff>28575</xdr:rowOff>
    </xdr:from>
    <xdr:to>
      <xdr:col>9</xdr:col>
      <xdr:colOff>533400</xdr:colOff>
      <xdr:row>63</xdr:row>
      <xdr:rowOff>723900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162925" y="363855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64</xdr:row>
      <xdr:rowOff>28575</xdr:rowOff>
    </xdr:from>
    <xdr:to>
      <xdr:col>9</xdr:col>
      <xdr:colOff>533400</xdr:colOff>
      <xdr:row>64</xdr:row>
      <xdr:rowOff>723900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162925" y="371665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65</xdr:row>
      <xdr:rowOff>28575</xdr:rowOff>
    </xdr:from>
    <xdr:to>
      <xdr:col>9</xdr:col>
      <xdr:colOff>533400</xdr:colOff>
      <xdr:row>65</xdr:row>
      <xdr:rowOff>723900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162925" y="379476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66</xdr:row>
      <xdr:rowOff>28575</xdr:rowOff>
    </xdr:from>
    <xdr:to>
      <xdr:col>9</xdr:col>
      <xdr:colOff>533400</xdr:colOff>
      <xdr:row>66</xdr:row>
      <xdr:rowOff>723900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162925" y="38728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68</xdr:row>
      <xdr:rowOff>28575</xdr:rowOff>
    </xdr:from>
    <xdr:to>
      <xdr:col>9</xdr:col>
      <xdr:colOff>533400</xdr:colOff>
      <xdr:row>68</xdr:row>
      <xdr:rowOff>723900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162925" y="396621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69</xdr:row>
      <xdr:rowOff>28575</xdr:rowOff>
    </xdr:from>
    <xdr:to>
      <xdr:col>9</xdr:col>
      <xdr:colOff>533400</xdr:colOff>
      <xdr:row>69</xdr:row>
      <xdr:rowOff>723900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162925" y="404431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70</xdr:row>
      <xdr:rowOff>28575</xdr:rowOff>
    </xdr:from>
    <xdr:to>
      <xdr:col>9</xdr:col>
      <xdr:colOff>533400</xdr:colOff>
      <xdr:row>70</xdr:row>
      <xdr:rowOff>723900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162925" y="412242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71</xdr:row>
      <xdr:rowOff>28575</xdr:rowOff>
    </xdr:from>
    <xdr:to>
      <xdr:col>9</xdr:col>
      <xdr:colOff>533400</xdr:colOff>
      <xdr:row>71</xdr:row>
      <xdr:rowOff>723900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162925" y="420052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72</xdr:row>
      <xdr:rowOff>28575</xdr:rowOff>
    </xdr:from>
    <xdr:to>
      <xdr:col>9</xdr:col>
      <xdr:colOff>533400</xdr:colOff>
      <xdr:row>72</xdr:row>
      <xdr:rowOff>723900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162925" y="427863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73</xdr:row>
      <xdr:rowOff>28575</xdr:rowOff>
    </xdr:from>
    <xdr:to>
      <xdr:col>9</xdr:col>
      <xdr:colOff>533400</xdr:colOff>
      <xdr:row>73</xdr:row>
      <xdr:rowOff>723900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162925" y="43567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74</xdr:row>
      <xdr:rowOff>28575</xdr:rowOff>
    </xdr:from>
    <xdr:to>
      <xdr:col>9</xdr:col>
      <xdr:colOff>533400</xdr:colOff>
      <xdr:row>74</xdr:row>
      <xdr:rowOff>723900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162925" y="443484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75</xdr:row>
      <xdr:rowOff>28575</xdr:rowOff>
    </xdr:from>
    <xdr:to>
      <xdr:col>9</xdr:col>
      <xdr:colOff>533400</xdr:colOff>
      <xdr:row>75</xdr:row>
      <xdr:rowOff>723900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162925" y="451294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76</xdr:row>
      <xdr:rowOff>28575</xdr:rowOff>
    </xdr:from>
    <xdr:to>
      <xdr:col>9</xdr:col>
      <xdr:colOff>533400</xdr:colOff>
      <xdr:row>76</xdr:row>
      <xdr:rowOff>723900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162925" y="459105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77</xdr:row>
      <xdr:rowOff>28575</xdr:rowOff>
    </xdr:from>
    <xdr:to>
      <xdr:col>9</xdr:col>
      <xdr:colOff>533400</xdr:colOff>
      <xdr:row>77</xdr:row>
      <xdr:rowOff>723900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162925" y="466915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78</xdr:row>
      <xdr:rowOff>28575</xdr:rowOff>
    </xdr:from>
    <xdr:to>
      <xdr:col>9</xdr:col>
      <xdr:colOff>533400</xdr:colOff>
      <xdr:row>78</xdr:row>
      <xdr:rowOff>723900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162925" y="474726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79</xdr:row>
      <xdr:rowOff>28575</xdr:rowOff>
    </xdr:from>
    <xdr:to>
      <xdr:col>9</xdr:col>
      <xdr:colOff>533400</xdr:colOff>
      <xdr:row>79</xdr:row>
      <xdr:rowOff>723900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162925" y="48253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81</xdr:row>
      <xdr:rowOff>28575</xdr:rowOff>
    </xdr:from>
    <xdr:to>
      <xdr:col>9</xdr:col>
      <xdr:colOff>533400</xdr:colOff>
      <xdr:row>81</xdr:row>
      <xdr:rowOff>723900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8162925" y="491871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82</xdr:row>
      <xdr:rowOff>28575</xdr:rowOff>
    </xdr:from>
    <xdr:to>
      <xdr:col>9</xdr:col>
      <xdr:colOff>533400</xdr:colOff>
      <xdr:row>82</xdr:row>
      <xdr:rowOff>723900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162925" y="499681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83</xdr:row>
      <xdr:rowOff>28575</xdr:rowOff>
    </xdr:from>
    <xdr:to>
      <xdr:col>9</xdr:col>
      <xdr:colOff>533400</xdr:colOff>
      <xdr:row>83</xdr:row>
      <xdr:rowOff>723900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162925" y="507492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85</xdr:row>
      <xdr:rowOff>28575</xdr:rowOff>
    </xdr:from>
    <xdr:to>
      <xdr:col>9</xdr:col>
      <xdr:colOff>533400</xdr:colOff>
      <xdr:row>85</xdr:row>
      <xdr:rowOff>723900</xdr:rowOff>
    </xdr:to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162925" y="51682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86</xdr:row>
      <xdr:rowOff>28575</xdr:rowOff>
    </xdr:from>
    <xdr:to>
      <xdr:col>9</xdr:col>
      <xdr:colOff>533400</xdr:colOff>
      <xdr:row>86</xdr:row>
      <xdr:rowOff>723900</xdr:rowOff>
    </xdr:to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8162925" y="524637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87</xdr:row>
      <xdr:rowOff>28575</xdr:rowOff>
    </xdr:from>
    <xdr:to>
      <xdr:col>9</xdr:col>
      <xdr:colOff>533400</xdr:colOff>
      <xdr:row>87</xdr:row>
      <xdr:rowOff>723900</xdr:rowOff>
    </xdr:to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162925" y="532447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88</xdr:row>
      <xdr:rowOff>28575</xdr:rowOff>
    </xdr:from>
    <xdr:to>
      <xdr:col>9</xdr:col>
      <xdr:colOff>533400</xdr:colOff>
      <xdr:row>88</xdr:row>
      <xdr:rowOff>723900</xdr:rowOff>
    </xdr:to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162925" y="540258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89</xdr:row>
      <xdr:rowOff>28575</xdr:rowOff>
    </xdr:from>
    <xdr:to>
      <xdr:col>9</xdr:col>
      <xdr:colOff>533400</xdr:colOff>
      <xdr:row>89</xdr:row>
      <xdr:rowOff>723900</xdr:rowOff>
    </xdr:to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162925" y="548068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90</xdr:row>
      <xdr:rowOff>28575</xdr:rowOff>
    </xdr:from>
    <xdr:to>
      <xdr:col>9</xdr:col>
      <xdr:colOff>533400</xdr:colOff>
      <xdr:row>90</xdr:row>
      <xdr:rowOff>723900</xdr:rowOff>
    </xdr:to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162925" y="555879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91</xdr:row>
      <xdr:rowOff>28575</xdr:rowOff>
    </xdr:from>
    <xdr:to>
      <xdr:col>9</xdr:col>
      <xdr:colOff>533400</xdr:colOff>
      <xdr:row>91</xdr:row>
      <xdr:rowOff>723900</xdr:rowOff>
    </xdr:to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162925" y="563689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92</xdr:row>
      <xdr:rowOff>28575</xdr:rowOff>
    </xdr:from>
    <xdr:to>
      <xdr:col>9</xdr:col>
      <xdr:colOff>533400</xdr:colOff>
      <xdr:row>92</xdr:row>
      <xdr:rowOff>723900</xdr:rowOff>
    </xdr:to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162925" y="571500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94</xdr:row>
      <xdr:rowOff>28575</xdr:rowOff>
    </xdr:from>
    <xdr:to>
      <xdr:col>9</xdr:col>
      <xdr:colOff>533400</xdr:colOff>
      <xdr:row>94</xdr:row>
      <xdr:rowOff>723900</xdr:rowOff>
    </xdr:to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8162925" y="580834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95</xdr:row>
      <xdr:rowOff>28575</xdr:rowOff>
    </xdr:from>
    <xdr:to>
      <xdr:col>9</xdr:col>
      <xdr:colOff>533400</xdr:colOff>
      <xdr:row>95</xdr:row>
      <xdr:rowOff>723900</xdr:rowOff>
    </xdr:to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8162925" y="588645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96</xdr:row>
      <xdr:rowOff>28575</xdr:rowOff>
    </xdr:from>
    <xdr:to>
      <xdr:col>9</xdr:col>
      <xdr:colOff>533400</xdr:colOff>
      <xdr:row>96</xdr:row>
      <xdr:rowOff>723900</xdr:rowOff>
    </xdr:to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162925" y="596455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97</xdr:row>
      <xdr:rowOff>28575</xdr:rowOff>
    </xdr:from>
    <xdr:to>
      <xdr:col>9</xdr:col>
      <xdr:colOff>533400</xdr:colOff>
      <xdr:row>97</xdr:row>
      <xdr:rowOff>723900</xdr:rowOff>
    </xdr:to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162925" y="604266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98</xdr:row>
      <xdr:rowOff>28575</xdr:rowOff>
    </xdr:from>
    <xdr:to>
      <xdr:col>9</xdr:col>
      <xdr:colOff>533400</xdr:colOff>
      <xdr:row>98</xdr:row>
      <xdr:rowOff>723900</xdr:rowOff>
    </xdr:to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8162925" y="61207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101</xdr:row>
      <xdr:rowOff>28575</xdr:rowOff>
    </xdr:from>
    <xdr:to>
      <xdr:col>9</xdr:col>
      <xdr:colOff>533400</xdr:colOff>
      <xdr:row>101</xdr:row>
      <xdr:rowOff>723900</xdr:rowOff>
    </xdr:to>
    <xdr:pic>
      <xdr:nvPicPr>
        <xdr:cNvPr id="74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162925" y="622935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102</xdr:row>
      <xdr:rowOff>28575</xdr:rowOff>
    </xdr:from>
    <xdr:to>
      <xdr:col>9</xdr:col>
      <xdr:colOff>533400</xdr:colOff>
      <xdr:row>102</xdr:row>
      <xdr:rowOff>723900</xdr:rowOff>
    </xdr:to>
    <xdr:pic>
      <xdr:nvPicPr>
        <xdr:cNvPr id="75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8162925" y="630745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103</xdr:row>
      <xdr:rowOff>28575</xdr:rowOff>
    </xdr:from>
    <xdr:to>
      <xdr:col>9</xdr:col>
      <xdr:colOff>533400</xdr:colOff>
      <xdr:row>103</xdr:row>
      <xdr:rowOff>723900</xdr:rowOff>
    </xdr:to>
    <xdr:pic>
      <xdr:nvPicPr>
        <xdr:cNvPr id="76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8162925" y="638556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104</xdr:row>
      <xdr:rowOff>28575</xdr:rowOff>
    </xdr:from>
    <xdr:to>
      <xdr:col>9</xdr:col>
      <xdr:colOff>533400</xdr:colOff>
      <xdr:row>104</xdr:row>
      <xdr:rowOff>723900</xdr:rowOff>
    </xdr:to>
    <xdr:pic>
      <xdr:nvPicPr>
        <xdr:cNvPr id="77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8162925" y="64636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106</xdr:row>
      <xdr:rowOff>28575</xdr:rowOff>
    </xdr:from>
    <xdr:to>
      <xdr:col>9</xdr:col>
      <xdr:colOff>533400</xdr:colOff>
      <xdr:row>106</xdr:row>
      <xdr:rowOff>723900</xdr:rowOff>
    </xdr:to>
    <xdr:pic>
      <xdr:nvPicPr>
        <xdr:cNvPr id="78" name="Имя " descr="Descr 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162925" y="655701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107</xdr:row>
      <xdr:rowOff>28575</xdr:rowOff>
    </xdr:from>
    <xdr:to>
      <xdr:col>9</xdr:col>
      <xdr:colOff>533400</xdr:colOff>
      <xdr:row>107</xdr:row>
      <xdr:rowOff>723900</xdr:rowOff>
    </xdr:to>
    <xdr:pic>
      <xdr:nvPicPr>
        <xdr:cNvPr id="79" name="Имя " descr="Descr 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162925" y="663511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108</xdr:row>
      <xdr:rowOff>28575</xdr:rowOff>
    </xdr:from>
    <xdr:to>
      <xdr:col>9</xdr:col>
      <xdr:colOff>533400</xdr:colOff>
      <xdr:row>108</xdr:row>
      <xdr:rowOff>723900</xdr:rowOff>
    </xdr:to>
    <xdr:pic>
      <xdr:nvPicPr>
        <xdr:cNvPr id="80" name="Имя " descr="Descr 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162925" y="671322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109</xdr:row>
      <xdr:rowOff>28575</xdr:rowOff>
    </xdr:from>
    <xdr:to>
      <xdr:col>9</xdr:col>
      <xdr:colOff>533400</xdr:colOff>
      <xdr:row>109</xdr:row>
      <xdr:rowOff>723900</xdr:rowOff>
    </xdr:to>
    <xdr:pic>
      <xdr:nvPicPr>
        <xdr:cNvPr id="81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8162925" y="679132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110</xdr:row>
      <xdr:rowOff>28575</xdr:rowOff>
    </xdr:from>
    <xdr:to>
      <xdr:col>9</xdr:col>
      <xdr:colOff>533400</xdr:colOff>
      <xdr:row>110</xdr:row>
      <xdr:rowOff>723900</xdr:rowOff>
    </xdr:to>
    <xdr:pic>
      <xdr:nvPicPr>
        <xdr:cNvPr id="82" name="Имя " descr="Descr 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8162925" y="686943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111</xdr:row>
      <xdr:rowOff>28575</xdr:rowOff>
    </xdr:from>
    <xdr:to>
      <xdr:col>9</xdr:col>
      <xdr:colOff>533400</xdr:colOff>
      <xdr:row>111</xdr:row>
      <xdr:rowOff>723900</xdr:rowOff>
    </xdr:to>
    <xdr:pic>
      <xdr:nvPicPr>
        <xdr:cNvPr id="83" name="Имя " descr="Descr 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162925" y="69475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113</xdr:row>
      <xdr:rowOff>28575</xdr:rowOff>
    </xdr:from>
    <xdr:to>
      <xdr:col>9</xdr:col>
      <xdr:colOff>533400</xdr:colOff>
      <xdr:row>113</xdr:row>
      <xdr:rowOff>723900</xdr:rowOff>
    </xdr:to>
    <xdr:pic>
      <xdr:nvPicPr>
        <xdr:cNvPr id="84" name="Имя " descr="Descr 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8162925" y="704088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114</xdr:row>
      <xdr:rowOff>28575</xdr:rowOff>
    </xdr:from>
    <xdr:to>
      <xdr:col>9</xdr:col>
      <xdr:colOff>533400</xdr:colOff>
      <xdr:row>114</xdr:row>
      <xdr:rowOff>723900</xdr:rowOff>
    </xdr:to>
    <xdr:pic>
      <xdr:nvPicPr>
        <xdr:cNvPr id="85" name="Имя " descr="Descr 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162925" y="711898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115</xdr:row>
      <xdr:rowOff>28575</xdr:rowOff>
    </xdr:from>
    <xdr:to>
      <xdr:col>9</xdr:col>
      <xdr:colOff>533400</xdr:colOff>
      <xdr:row>115</xdr:row>
      <xdr:rowOff>723900</xdr:rowOff>
    </xdr:to>
    <xdr:pic>
      <xdr:nvPicPr>
        <xdr:cNvPr id="86" name="Имя " descr="Descr 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8162925" y="719709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116</xdr:row>
      <xdr:rowOff>28575</xdr:rowOff>
    </xdr:from>
    <xdr:to>
      <xdr:col>9</xdr:col>
      <xdr:colOff>533400</xdr:colOff>
      <xdr:row>116</xdr:row>
      <xdr:rowOff>723900</xdr:rowOff>
    </xdr:to>
    <xdr:pic>
      <xdr:nvPicPr>
        <xdr:cNvPr id="87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8162925" y="727519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117</xdr:row>
      <xdr:rowOff>28575</xdr:rowOff>
    </xdr:from>
    <xdr:to>
      <xdr:col>9</xdr:col>
      <xdr:colOff>533400</xdr:colOff>
      <xdr:row>117</xdr:row>
      <xdr:rowOff>723900</xdr:rowOff>
    </xdr:to>
    <xdr:pic>
      <xdr:nvPicPr>
        <xdr:cNvPr id="88" name="Имя " descr="Descr 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8162925" y="735330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118</xdr:row>
      <xdr:rowOff>28575</xdr:rowOff>
    </xdr:from>
    <xdr:to>
      <xdr:col>9</xdr:col>
      <xdr:colOff>533400</xdr:colOff>
      <xdr:row>118</xdr:row>
      <xdr:rowOff>723900</xdr:rowOff>
    </xdr:to>
    <xdr:pic>
      <xdr:nvPicPr>
        <xdr:cNvPr id="89" name="Имя " descr="Descr 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8162925" y="743140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120</xdr:row>
      <xdr:rowOff>28575</xdr:rowOff>
    </xdr:from>
    <xdr:to>
      <xdr:col>9</xdr:col>
      <xdr:colOff>533400</xdr:colOff>
      <xdr:row>120</xdr:row>
      <xdr:rowOff>723900</xdr:rowOff>
    </xdr:to>
    <xdr:pic>
      <xdr:nvPicPr>
        <xdr:cNvPr id="90" name="Имя " descr="Descr 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8162925" y="752475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121</xdr:row>
      <xdr:rowOff>28575</xdr:rowOff>
    </xdr:from>
    <xdr:to>
      <xdr:col>9</xdr:col>
      <xdr:colOff>533400</xdr:colOff>
      <xdr:row>121</xdr:row>
      <xdr:rowOff>723900</xdr:rowOff>
    </xdr:to>
    <xdr:pic>
      <xdr:nvPicPr>
        <xdr:cNvPr id="91" name="Имя " descr="Descr 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162925" y="760285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122</xdr:row>
      <xdr:rowOff>28575</xdr:rowOff>
    </xdr:from>
    <xdr:to>
      <xdr:col>9</xdr:col>
      <xdr:colOff>533400</xdr:colOff>
      <xdr:row>122</xdr:row>
      <xdr:rowOff>723900</xdr:rowOff>
    </xdr:to>
    <xdr:pic>
      <xdr:nvPicPr>
        <xdr:cNvPr id="92" name="Имя " descr="Descr 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8162925" y="768096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124</xdr:row>
      <xdr:rowOff>28575</xdr:rowOff>
    </xdr:from>
    <xdr:to>
      <xdr:col>9</xdr:col>
      <xdr:colOff>533400</xdr:colOff>
      <xdr:row>124</xdr:row>
      <xdr:rowOff>723900</xdr:rowOff>
    </xdr:to>
    <xdr:pic>
      <xdr:nvPicPr>
        <xdr:cNvPr id="93" name="Имя " descr="Descr 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162925" y="777430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125</xdr:row>
      <xdr:rowOff>28575</xdr:rowOff>
    </xdr:from>
    <xdr:to>
      <xdr:col>9</xdr:col>
      <xdr:colOff>533400</xdr:colOff>
      <xdr:row>125</xdr:row>
      <xdr:rowOff>723900</xdr:rowOff>
    </xdr:to>
    <xdr:pic>
      <xdr:nvPicPr>
        <xdr:cNvPr id="94" name="Имя " descr="Descr 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162925" y="785241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126</xdr:row>
      <xdr:rowOff>28575</xdr:rowOff>
    </xdr:from>
    <xdr:to>
      <xdr:col>9</xdr:col>
      <xdr:colOff>533400</xdr:colOff>
      <xdr:row>126</xdr:row>
      <xdr:rowOff>723900</xdr:rowOff>
    </xdr:to>
    <xdr:pic>
      <xdr:nvPicPr>
        <xdr:cNvPr id="95" name="Имя " descr="Descr 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8162925" y="793051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127</xdr:row>
      <xdr:rowOff>28575</xdr:rowOff>
    </xdr:from>
    <xdr:to>
      <xdr:col>9</xdr:col>
      <xdr:colOff>533400</xdr:colOff>
      <xdr:row>127</xdr:row>
      <xdr:rowOff>723900</xdr:rowOff>
    </xdr:to>
    <xdr:pic>
      <xdr:nvPicPr>
        <xdr:cNvPr id="96" name="Имя " descr="Descr 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8162925" y="800862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128</xdr:row>
      <xdr:rowOff>28575</xdr:rowOff>
    </xdr:from>
    <xdr:to>
      <xdr:col>9</xdr:col>
      <xdr:colOff>533400</xdr:colOff>
      <xdr:row>128</xdr:row>
      <xdr:rowOff>723900</xdr:rowOff>
    </xdr:to>
    <xdr:pic>
      <xdr:nvPicPr>
        <xdr:cNvPr id="97" name="Имя " descr="Descr 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8162925" y="808672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130</xdr:row>
      <xdr:rowOff>28575</xdr:rowOff>
    </xdr:from>
    <xdr:to>
      <xdr:col>9</xdr:col>
      <xdr:colOff>533400</xdr:colOff>
      <xdr:row>130</xdr:row>
      <xdr:rowOff>723900</xdr:rowOff>
    </xdr:to>
    <xdr:pic>
      <xdr:nvPicPr>
        <xdr:cNvPr id="98" name="Имя " descr="Descr 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8162925" y="818007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131</xdr:row>
      <xdr:rowOff>28575</xdr:rowOff>
    </xdr:from>
    <xdr:to>
      <xdr:col>9</xdr:col>
      <xdr:colOff>533400</xdr:colOff>
      <xdr:row>131</xdr:row>
      <xdr:rowOff>723900</xdr:rowOff>
    </xdr:to>
    <xdr:pic>
      <xdr:nvPicPr>
        <xdr:cNvPr id="99" name="Имя " descr="Descr 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8162925" y="825817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132</xdr:row>
      <xdr:rowOff>28575</xdr:rowOff>
    </xdr:from>
    <xdr:to>
      <xdr:col>9</xdr:col>
      <xdr:colOff>533400</xdr:colOff>
      <xdr:row>132</xdr:row>
      <xdr:rowOff>723900</xdr:rowOff>
    </xdr:to>
    <xdr:pic>
      <xdr:nvPicPr>
        <xdr:cNvPr id="100" name="Имя " descr="Descr 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8162925" y="833628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133</xdr:row>
      <xdr:rowOff>28575</xdr:rowOff>
    </xdr:from>
    <xdr:to>
      <xdr:col>9</xdr:col>
      <xdr:colOff>533400</xdr:colOff>
      <xdr:row>133</xdr:row>
      <xdr:rowOff>723900</xdr:rowOff>
    </xdr:to>
    <xdr:pic>
      <xdr:nvPicPr>
        <xdr:cNvPr id="101" name="Имя " descr="Descr 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8162925" y="841438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134</xdr:row>
      <xdr:rowOff>28575</xdr:rowOff>
    </xdr:from>
    <xdr:to>
      <xdr:col>9</xdr:col>
      <xdr:colOff>533400</xdr:colOff>
      <xdr:row>134</xdr:row>
      <xdr:rowOff>723900</xdr:rowOff>
    </xdr:to>
    <xdr:pic>
      <xdr:nvPicPr>
        <xdr:cNvPr id="102" name="Имя " descr="Descr 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8162925" y="849249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135</xdr:row>
      <xdr:rowOff>28575</xdr:rowOff>
    </xdr:from>
    <xdr:to>
      <xdr:col>9</xdr:col>
      <xdr:colOff>533400</xdr:colOff>
      <xdr:row>135</xdr:row>
      <xdr:rowOff>723900</xdr:rowOff>
    </xdr:to>
    <xdr:pic>
      <xdr:nvPicPr>
        <xdr:cNvPr id="103" name="Имя " descr="Descr 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162925" y="857059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137</xdr:row>
      <xdr:rowOff>28575</xdr:rowOff>
    </xdr:from>
    <xdr:to>
      <xdr:col>9</xdr:col>
      <xdr:colOff>533400</xdr:colOff>
      <xdr:row>137</xdr:row>
      <xdr:rowOff>723900</xdr:rowOff>
    </xdr:to>
    <xdr:pic>
      <xdr:nvPicPr>
        <xdr:cNvPr id="104" name="Имя " descr="Descr 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8162925" y="866394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138</xdr:row>
      <xdr:rowOff>28575</xdr:rowOff>
    </xdr:from>
    <xdr:to>
      <xdr:col>9</xdr:col>
      <xdr:colOff>533400</xdr:colOff>
      <xdr:row>138</xdr:row>
      <xdr:rowOff>723900</xdr:rowOff>
    </xdr:to>
    <xdr:pic>
      <xdr:nvPicPr>
        <xdr:cNvPr id="105" name="Имя " descr="Descr 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8162925" y="874204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139</xdr:row>
      <xdr:rowOff>28575</xdr:rowOff>
    </xdr:from>
    <xdr:to>
      <xdr:col>9</xdr:col>
      <xdr:colOff>533400</xdr:colOff>
      <xdr:row>139</xdr:row>
      <xdr:rowOff>723900</xdr:rowOff>
    </xdr:to>
    <xdr:pic>
      <xdr:nvPicPr>
        <xdr:cNvPr id="106" name="Имя " descr="Descr 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8162925" y="882015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140</xdr:row>
      <xdr:rowOff>28575</xdr:rowOff>
    </xdr:from>
    <xdr:to>
      <xdr:col>9</xdr:col>
      <xdr:colOff>533400</xdr:colOff>
      <xdr:row>140</xdr:row>
      <xdr:rowOff>723900</xdr:rowOff>
    </xdr:to>
    <xdr:pic>
      <xdr:nvPicPr>
        <xdr:cNvPr id="107" name="Имя " descr="Descr 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8162925" y="889825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141</xdr:row>
      <xdr:rowOff>28575</xdr:rowOff>
    </xdr:from>
    <xdr:to>
      <xdr:col>9</xdr:col>
      <xdr:colOff>533400</xdr:colOff>
      <xdr:row>141</xdr:row>
      <xdr:rowOff>723900</xdr:rowOff>
    </xdr:to>
    <xdr:pic>
      <xdr:nvPicPr>
        <xdr:cNvPr id="108" name="Имя " descr="Descr 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8162925" y="897636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142</xdr:row>
      <xdr:rowOff>28575</xdr:rowOff>
    </xdr:from>
    <xdr:to>
      <xdr:col>9</xdr:col>
      <xdr:colOff>533400</xdr:colOff>
      <xdr:row>142</xdr:row>
      <xdr:rowOff>723900</xdr:rowOff>
    </xdr:to>
    <xdr:pic>
      <xdr:nvPicPr>
        <xdr:cNvPr id="109" name="Имя " descr="Descr 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8162925" y="90544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143</xdr:row>
      <xdr:rowOff>28575</xdr:rowOff>
    </xdr:from>
    <xdr:to>
      <xdr:col>9</xdr:col>
      <xdr:colOff>533400</xdr:colOff>
      <xdr:row>143</xdr:row>
      <xdr:rowOff>723900</xdr:rowOff>
    </xdr:to>
    <xdr:pic>
      <xdr:nvPicPr>
        <xdr:cNvPr id="110" name="Имя " descr="Descr 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8162925" y="913257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144</xdr:row>
      <xdr:rowOff>28575</xdr:rowOff>
    </xdr:from>
    <xdr:to>
      <xdr:col>9</xdr:col>
      <xdr:colOff>533400</xdr:colOff>
      <xdr:row>144</xdr:row>
      <xdr:rowOff>723900</xdr:rowOff>
    </xdr:to>
    <xdr:pic>
      <xdr:nvPicPr>
        <xdr:cNvPr id="111" name="Имя " descr="Descr 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8162925" y="921067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145</xdr:row>
      <xdr:rowOff>28575</xdr:rowOff>
    </xdr:from>
    <xdr:to>
      <xdr:col>9</xdr:col>
      <xdr:colOff>533400</xdr:colOff>
      <xdr:row>145</xdr:row>
      <xdr:rowOff>723900</xdr:rowOff>
    </xdr:to>
    <xdr:pic>
      <xdr:nvPicPr>
        <xdr:cNvPr id="112" name="Имя " descr="Descr 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8162925" y="928878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146</xdr:row>
      <xdr:rowOff>28575</xdr:rowOff>
    </xdr:from>
    <xdr:to>
      <xdr:col>9</xdr:col>
      <xdr:colOff>533400</xdr:colOff>
      <xdr:row>146</xdr:row>
      <xdr:rowOff>723900</xdr:rowOff>
    </xdr:to>
    <xdr:pic>
      <xdr:nvPicPr>
        <xdr:cNvPr id="113" name="Имя " descr="Descr 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8162925" y="936688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147</xdr:row>
      <xdr:rowOff>28575</xdr:rowOff>
    </xdr:from>
    <xdr:to>
      <xdr:col>9</xdr:col>
      <xdr:colOff>533400</xdr:colOff>
      <xdr:row>147</xdr:row>
      <xdr:rowOff>723900</xdr:rowOff>
    </xdr:to>
    <xdr:pic>
      <xdr:nvPicPr>
        <xdr:cNvPr id="114" name="Имя " descr="Descr 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162925" y="944499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148</xdr:row>
      <xdr:rowOff>28575</xdr:rowOff>
    </xdr:from>
    <xdr:to>
      <xdr:col>9</xdr:col>
      <xdr:colOff>533400</xdr:colOff>
      <xdr:row>148</xdr:row>
      <xdr:rowOff>723900</xdr:rowOff>
    </xdr:to>
    <xdr:pic>
      <xdr:nvPicPr>
        <xdr:cNvPr id="115" name="Имя " descr="Descr 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8162925" y="952309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149</xdr:row>
      <xdr:rowOff>28575</xdr:rowOff>
    </xdr:from>
    <xdr:to>
      <xdr:col>9</xdr:col>
      <xdr:colOff>533400</xdr:colOff>
      <xdr:row>149</xdr:row>
      <xdr:rowOff>723900</xdr:rowOff>
    </xdr:to>
    <xdr:pic>
      <xdr:nvPicPr>
        <xdr:cNvPr id="116" name="Имя " descr="Descr 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8162925" y="960120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150</xdr:row>
      <xdr:rowOff>28575</xdr:rowOff>
    </xdr:from>
    <xdr:to>
      <xdr:col>9</xdr:col>
      <xdr:colOff>533400</xdr:colOff>
      <xdr:row>150</xdr:row>
      <xdr:rowOff>723900</xdr:rowOff>
    </xdr:to>
    <xdr:pic>
      <xdr:nvPicPr>
        <xdr:cNvPr id="117" name="Имя " descr="Descr 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162925" y="967930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151</xdr:row>
      <xdr:rowOff>28575</xdr:rowOff>
    </xdr:from>
    <xdr:to>
      <xdr:col>9</xdr:col>
      <xdr:colOff>533400</xdr:colOff>
      <xdr:row>151</xdr:row>
      <xdr:rowOff>723900</xdr:rowOff>
    </xdr:to>
    <xdr:pic>
      <xdr:nvPicPr>
        <xdr:cNvPr id="118" name="Имя " descr="Descr 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8162925" y="975741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152</xdr:row>
      <xdr:rowOff>28575</xdr:rowOff>
    </xdr:from>
    <xdr:to>
      <xdr:col>9</xdr:col>
      <xdr:colOff>533400</xdr:colOff>
      <xdr:row>152</xdr:row>
      <xdr:rowOff>723900</xdr:rowOff>
    </xdr:to>
    <xdr:pic>
      <xdr:nvPicPr>
        <xdr:cNvPr id="119" name="Имя " descr="Descr 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8162925" y="983551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153</xdr:row>
      <xdr:rowOff>28575</xdr:rowOff>
    </xdr:from>
    <xdr:to>
      <xdr:col>9</xdr:col>
      <xdr:colOff>533400</xdr:colOff>
      <xdr:row>153</xdr:row>
      <xdr:rowOff>723900</xdr:rowOff>
    </xdr:to>
    <xdr:pic>
      <xdr:nvPicPr>
        <xdr:cNvPr id="120" name="Имя " descr="Descr 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8162925" y="991362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154</xdr:row>
      <xdr:rowOff>28575</xdr:rowOff>
    </xdr:from>
    <xdr:to>
      <xdr:col>9</xdr:col>
      <xdr:colOff>533400</xdr:colOff>
      <xdr:row>154</xdr:row>
      <xdr:rowOff>723900</xdr:rowOff>
    </xdr:to>
    <xdr:pic>
      <xdr:nvPicPr>
        <xdr:cNvPr id="121" name="Имя " descr="Descr 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8162925" y="999172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155</xdr:row>
      <xdr:rowOff>28575</xdr:rowOff>
    </xdr:from>
    <xdr:to>
      <xdr:col>9</xdr:col>
      <xdr:colOff>533400</xdr:colOff>
      <xdr:row>155</xdr:row>
      <xdr:rowOff>723900</xdr:rowOff>
    </xdr:to>
    <xdr:pic>
      <xdr:nvPicPr>
        <xdr:cNvPr id="122" name="Имя " descr="Descr 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8162925" y="1006983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156</xdr:row>
      <xdr:rowOff>28575</xdr:rowOff>
    </xdr:from>
    <xdr:to>
      <xdr:col>9</xdr:col>
      <xdr:colOff>533400</xdr:colOff>
      <xdr:row>156</xdr:row>
      <xdr:rowOff>723900</xdr:rowOff>
    </xdr:to>
    <xdr:pic>
      <xdr:nvPicPr>
        <xdr:cNvPr id="123" name="Имя " descr="Descr 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8162925" y="101479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157</xdr:row>
      <xdr:rowOff>28575</xdr:rowOff>
    </xdr:from>
    <xdr:to>
      <xdr:col>9</xdr:col>
      <xdr:colOff>533400</xdr:colOff>
      <xdr:row>157</xdr:row>
      <xdr:rowOff>723900</xdr:rowOff>
    </xdr:to>
    <xdr:pic>
      <xdr:nvPicPr>
        <xdr:cNvPr id="124" name="Имя " descr="Descr 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8162925" y="1022604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159</xdr:row>
      <xdr:rowOff>28575</xdr:rowOff>
    </xdr:from>
    <xdr:to>
      <xdr:col>9</xdr:col>
      <xdr:colOff>533400</xdr:colOff>
      <xdr:row>159</xdr:row>
      <xdr:rowOff>723900</xdr:rowOff>
    </xdr:to>
    <xdr:pic>
      <xdr:nvPicPr>
        <xdr:cNvPr id="125" name="Имя " descr="Descr 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8162925" y="1031938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160</xdr:row>
      <xdr:rowOff>28575</xdr:rowOff>
    </xdr:from>
    <xdr:to>
      <xdr:col>9</xdr:col>
      <xdr:colOff>533400</xdr:colOff>
      <xdr:row>160</xdr:row>
      <xdr:rowOff>723900</xdr:rowOff>
    </xdr:to>
    <xdr:pic>
      <xdr:nvPicPr>
        <xdr:cNvPr id="126" name="Имя " descr="Descr 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162925" y="1039749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161</xdr:row>
      <xdr:rowOff>28575</xdr:rowOff>
    </xdr:from>
    <xdr:to>
      <xdr:col>9</xdr:col>
      <xdr:colOff>533400</xdr:colOff>
      <xdr:row>161</xdr:row>
      <xdr:rowOff>723900</xdr:rowOff>
    </xdr:to>
    <xdr:pic>
      <xdr:nvPicPr>
        <xdr:cNvPr id="127" name="Имя " descr="Descr 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8162925" y="1047559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162</xdr:row>
      <xdr:rowOff>28575</xdr:rowOff>
    </xdr:from>
    <xdr:to>
      <xdr:col>9</xdr:col>
      <xdr:colOff>533400</xdr:colOff>
      <xdr:row>162</xdr:row>
      <xdr:rowOff>723900</xdr:rowOff>
    </xdr:to>
    <xdr:pic>
      <xdr:nvPicPr>
        <xdr:cNvPr id="128" name="Имя " descr="Descr 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8162925" y="1055370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163</xdr:row>
      <xdr:rowOff>28575</xdr:rowOff>
    </xdr:from>
    <xdr:to>
      <xdr:col>9</xdr:col>
      <xdr:colOff>533400</xdr:colOff>
      <xdr:row>163</xdr:row>
      <xdr:rowOff>723900</xdr:rowOff>
    </xdr:to>
    <xdr:pic>
      <xdr:nvPicPr>
        <xdr:cNvPr id="129" name="Имя " descr="Descr 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8162925" y="1063180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164</xdr:row>
      <xdr:rowOff>28575</xdr:rowOff>
    </xdr:from>
    <xdr:to>
      <xdr:col>9</xdr:col>
      <xdr:colOff>533400</xdr:colOff>
      <xdr:row>164</xdr:row>
      <xdr:rowOff>723900</xdr:rowOff>
    </xdr:to>
    <xdr:pic>
      <xdr:nvPicPr>
        <xdr:cNvPr id="130" name="Имя " descr="Descr 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8162925" y="1070991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165</xdr:row>
      <xdr:rowOff>28575</xdr:rowOff>
    </xdr:from>
    <xdr:to>
      <xdr:col>9</xdr:col>
      <xdr:colOff>533400</xdr:colOff>
      <xdr:row>165</xdr:row>
      <xdr:rowOff>723900</xdr:rowOff>
    </xdr:to>
    <xdr:pic>
      <xdr:nvPicPr>
        <xdr:cNvPr id="131" name="Имя " descr="Descr 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8162925" y="1078801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167</xdr:row>
      <xdr:rowOff>28575</xdr:rowOff>
    </xdr:from>
    <xdr:to>
      <xdr:col>9</xdr:col>
      <xdr:colOff>533400</xdr:colOff>
      <xdr:row>167</xdr:row>
      <xdr:rowOff>723900</xdr:rowOff>
    </xdr:to>
    <xdr:pic>
      <xdr:nvPicPr>
        <xdr:cNvPr id="132" name="Имя " descr="Descr 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8162925" y="1088136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168</xdr:row>
      <xdr:rowOff>28575</xdr:rowOff>
    </xdr:from>
    <xdr:to>
      <xdr:col>9</xdr:col>
      <xdr:colOff>533400</xdr:colOff>
      <xdr:row>168</xdr:row>
      <xdr:rowOff>723900</xdr:rowOff>
    </xdr:to>
    <xdr:pic>
      <xdr:nvPicPr>
        <xdr:cNvPr id="133" name="Имя " descr="Descr 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8162925" y="109594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169</xdr:row>
      <xdr:rowOff>28575</xdr:rowOff>
    </xdr:from>
    <xdr:to>
      <xdr:col>9</xdr:col>
      <xdr:colOff>533400</xdr:colOff>
      <xdr:row>169</xdr:row>
      <xdr:rowOff>723900</xdr:rowOff>
    </xdr:to>
    <xdr:pic>
      <xdr:nvPicPr>
        <xdr:cNvPr id="134" name="Имя " descr="Descr 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8162925" y="1103757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170</xdr:row>
      <xdr:rowOff>28575</xdr:rowOff>
    </xdr:from>
    <xdr:to>
      <xdr:col>9</xdr:col>
      <xdr:colOff>533400</xdr:colOff>
      <xdr:row>170</xdr:row>
      <xdr:rowOff>723900</xdr:rowOff>
    </xdr:to>
    <xdr:pic>
      <xdr:nvPicPr>
        <xdr:cNvPr id="135" name="Имя " descr="Descr 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8162925" y="1111567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171</xdr:row>
      <xdr:rowOff>28575</xdr:rowOff>
    </xdr:from>
    <xdr:to>
      <xdr:col>9</xdr:col>
      <xdr:colOff>533400</xdr:colOff>
      <xdr:row>171</xdr:row>
      <xdr:rowOff>723900</xdr:rowOff>
    </xdr:to>
    <xdr:pic>
      <xdr:nvPicPr>
        <xdr:cNvPr id="136" name="Имя " descr="Descr 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8162925" y="1119378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172</xdr:row>
      <xdr:rowOff>28575</xdr:rowOff>
    </xdr:from>
    <xdr:to>
      <xdr:col>9</xdr:col>
      <xdr:colOff>533400</xdr:colOff>
      <xdr:row>172</xdr:row>
      <xdr:rowOff>723900</xdr:rowOff>
    </xdr:to>
    <xdr:pic>
      <xdr:nvPicPr>
        <xdr:cNvPr id="137" name="Имя " descr="Descr 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8162925" y="1127188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173</xdr:row>
      <xdr:rowOff>28575</xdr:rowOff>
    </xdr:from>
    <xdr:to>
      <xdr:col>9</xdr:col>
      <xdr:colOff>533400</xdr:colOff>
      <xdr:row>173</xdr:row>
      <xdr:rowOff>723900</xdr:rowOff>
    </xdr:to>
    <xdr:pic>
      <xdr:nvPicPr>
        <xdr:cNvPr id="138" name="Имя " descr="Descr 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8162925" y="1134999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174</xdr:row>
      <xdr:rowOff>28575</xdr:rowOff>
    </xdr:from>
    <xdr:to>
      <xdr:col>9</xdr:col>
      <xdr:colOff>533400</xdr:colOff>
      <xdr:row>174</xdr:row>
      <xdr:rowOff>723900</xdr:rowOff>
    </xdr:to>
    <xdr:pic>
      <xdr:nvPicPr>
        <xdr:cNvPr id="139" name="Имя " descr="Descr 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8162925" y="1142809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177</xdr:row>
      <xdr:rowOff>28575</xdr:rowOff>
    </xdr:from>
    <xdr:to>
      <xdr:col>9</xdr:col>
      <xdr:colOff>533400</xdr:colOff>
      <xdr:row>177</xdr:row>
      <xdr:rowOff>723900</xdr:rowOff>
    </xdr:to>
    <xdr:pic>
      <xdr:nvPicPr>
        <xdr:cNvPr id="140" name="Имя " descr="Descr 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8162925" y="1153668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178</xdr:row>
      <xdr:rowOff>28575</xdr:rowOff>
    </xdr:from>
    <xdr:to>
      <xdr:col>9</xdr:col>
      <xdr:colOff>533400</xdr:colOff>
      <xdr:row>178</xdr:row>
      <xdr:rowOff>723900</xdr:rowOff>
    </xdr:to>
    <xdr:pic>
      <xdr:nvPicPr>
        <xdr:cNvPr id="141" name="Имя " descr="Descr 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8162925" y="1161478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179</xdr:row>
      <xdr:rowOff>28575</xdr:rowOff>
    </xdr:from>
    <xdr:to>
      <xdr:col>9</xdr:col>
      <xdr:colOff>533400</xdr:colOff>
      <xdr:row>179</xdr:row>
      <xdr:rowOff>723900</xdr:rowOff>
    </xdr:to>
    <xdr:pic>
      <xdr:nvPicPr>
        <xdr:cNvPr id="142" name="Имя " descr="Descr 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8162925" y="1169289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182</xdr:row>
      <xdr:rowOff>28575</xdr:rowOff>
    </xdr:from>
    <xdr:to>
      <xdr:col>9</xdr:col>
      <xdr:colOff>533400</xdr:colOff>
      <xdr:row>182</xdr:row>
      <xdr:rowOff>723900</xdr:rowOff>
    </xdr:to>
    <xdr:pic>
      <xdr:nvPicPr>
        <xdr:cNvPr id="143" name="Имя " descr="Descr 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8162925" y="1180147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J183"/>
  <sheetViews>
    <sheetView tabSelected="1" zoomScalePageLayoutView="0" workbookViewId="0" topLeftCell="A1">
      <selection activeCell="A1" sqref="A1"/>
    </sheetView>
  </sheetViews>
  <sheetFormatPr defaultColWidth="10.5" defaultRowHeight="11.25" customHeight="1" outlineLevelRow="5"/>
  <cols>
    <col min="1" max="1" width="1.171875" style="1" customWidth="1"/>
    <col min="2" max="2" width="52.33203125" style="1" customWidth="1"/>
    <col min="3" max="4" width="14.83203125" style="1" customWidth="1"/>
    <col min="5" max="5" width="16.33203125" style="1" customWidth="1"/>
    <col min="6" max="6" width="10.5" style="1" customWidth="1"/>
    <col min="7" max="7" width="15.33203125" style="1" customWidth="1"/>
    <col min="8" max="8" width="16.16015625" style="1" customWidth="1"/>
    <col min="9" max="9" width="14.83203125" style="1" customWidth="1"/>
    <col min="10" max="10" width="15.66015625" style="1" customWidth="1"/>
    <col min="11" max="11" width="10.5" style="1" customWidth="1"/>
  </cols>
  <sheetData>
    <row r="1" ht="49.5" customHeight="1">
      <c r="B1" s="2" t="s">
        <v>0</v>
      </c>
    </row>
    <row r="2" ht="10.5" customHeight="1"/>
    <row r="3" ht="18.75" customHeight="1">
      <c r="B3" s="3" t="s">
        <v>1</v>
      </c>
    </row>
    <row r="4" s="4" customFormat="1" ht="9" customHeight="1"/>
    <row r="5" s="4" customFormat="1" ht="9" customHeight="1"/>
    <row r="6" s="4" customFormat="1" ht="10.5" customHeight="1">
      <c r="B6" s="5" t="s">
        <v>2</v>
      </c>
    </row>
    <row r="7" spans="2:7" s="4" customFormat="1" ht="10.5" customHeight="1">
      <c r="B7" s="5" t="s">
        <v>3</v>
      </c>
      <c r="F7" s="4" t="s">
        <v>42</v>
      </c>
      <c r="G7" s="4">
        <f>SUM(G11:G9007)</f>
        <v>0</v>
      </c>
    </row>
    <row r="8" spans="6:7" s="4" customFormat="1" ht="10.5" customHeight="1">
      <c r="F8" s="4" t="s">
        <v>43</v>
      </c>
      <c r="G8" s="4">
        <f>SUM(H11:H9008)</f>
        <v>0</v>
      </c>
    </row>
    <row r="9" s="1" customFormat="1" ht="7.5" customHeight="1"/>
    <row r="10" spans="2:10" s="1" customFormat="1" ht="12" customHeight="1">
      <c r="B10" s="32" t="s">
        <v>4</v>
      </c>
      <c r="C10" s="34" t="s">
        <v>5</v>
      </c>
      <c r="D10" s="34" t="s">
        <v>6</v>
      </c>
      <c r="E10" s="36" t="s">
        <v>7</v>
      </c>
      <c r="F10" s="36"/>
      <c r="G10" s="36"/>
      <c r="H10" s="36"/>
      <c r="I10" s="37" t="s">
        <v>8</v>
      </c>
      <c r="J10" s="37"/>
    </row>
    <row r="11" spans="2:10" s="1" customFormat="1" ht="12" customHeight="1">
      <c r="B11" s="33"/>
      <c r="C11" s="35"/>
      <c r="D11" s="35"/>
      <c r="E11" s="6" t="s">
        <v>9</v>
      </c>
      <c r="F11" s="6" t="s">
        <v>10</v>
      </c>
      <c r="G11" s="6" t="s">
        <v>11</v>
      </c>
      <c r="H11" s="6" t="s">
        <v>12</v>
      </c>
      <c r="I11" s="38"/>
      <c r="J11" s="39"/>
    </row>
    <row r="12" spans="2:10" s="1" customFormat="1" ht="61.5" customHeight="1">
      <c r="B12" s="7"/>
      <c r="C12" s="8"/>
      <c r="D12" s="7"/>
      <c r="E12" s="9"/>
      <c r="F12" s="9"/>
      <c r="G12" s="9"/>
      <c r="H12" s="9"/>
      <c r="I12" s="40"/>
      <c r="J12" s="40"/>
    </row>
    <row r="13" spans="2:10" ht="12" customHeight="1" outlineLevel="1">
      <c r="B13" s="10" t="s">
        <v>13</v>
      </c>
      <c r="C13" s="11"/>
      <c r="D13" s="12"/>
      <c r="E13" s="13"/>
      <c r="F13" s="13"/>
      <c r="G13" s="46"/>
      <c r="H13" s="13">
        <f>E13*G13</f>
        <v>0</v>
      </c>
      <c r="I13" s="41"/>
      <c r="J13" s="41"/>
    </row>
    <row r="14" spans="2:10" ht="12" customHeight="1" outlineLevel="2">
      <c r="B14" s="14" t="s">
        <v>14</v>
      </c>
      <c r="C14" s="15"/>
      <c r="D14" s="16"/>
      <c r="E14" s="17"/>
      <c r="F14" s="17"/>
      <c r="G14" s="47"/>
      <c r="H14" s="17">
        <f>E14*G14</f>
        <v>0</v>
      </c>
      <c r="I14" s="42"/>
      <c r="J14" s="42"/>
    </row>
    <row r="15" spans="2:10" ht="12" customHeight="1" outlineLevel="3">
      <c r="B15" s="18" t="s">
        <v>15</v>
      </c>
      <c r="C15" s="19"/>
      <c r="D15" s="20"/>
      <c r="E15" s="21"/>
      <c r="F15" s="21"/>
      <c r="G15" s="48"/>
      <c r="H15" s="21">
        <f>E15*G15</f>
        <v>0</v>
      </c>
      <c r="I15" s="43"/>
      <c r="J15" s="43"/>
    </row>
    <row r="16" spans="2:10" s="1" customFormat="1" ht="61.5" customHeight="1" outlineLevel="4">
      <c r="B16" s="49" t="str">
        <f>HYPERLINK("http://rusat.tv/hdcvi-videoregistrator-dahua-dh-hcvr7108an-4m","HDCVI видеорегистратор Dahua DH-HCVR7208AN-4M")</f>
        <v>HDCVI видеорегистратор Dahua DH-HCVR7208AN-4M</v>
      </c>
      <c r="C16" s="22">
        <v>1</v>
      </c>
      <c r="D16" s="23">
        <v>2369</v>
      </c>
      <c r="E16" s="24">
        <v>11280</v>
      </c>
      <c r="F16" s="25" t="s">
        <v>16</v>
      </c>
      <c r="G16" s="50"/>
      <c r="H16" s="25">
        <f>E16*G16</f>
        <v>0</v>
      </c>
      <c r="I16" s="44"/>
      <c r="J16" s="44"/>
    </row>
    <row r="17" spans="2:10" s="1" customFormat="1" ht="61.5" customHeight="1" outlineLevel="4">
      <c r="B17" s="49" t="str">
        <f>HYPERLINK("http://rusat.tv/hdcvi-videoregistrator-dahua-dhi-hcvr5116he-s3","HDCVI видеорегистратор Dahua DH-XVR5116HS-I3")</f>
        <v>HDCVI видеорегистратор Dahua DH-XVR5116HS-I3</v>
      </c>
      <c r="C17" s="22">
        <v>1</v>
      </c>
      <c r="D17" s="23">
        <v>3078</v>
      </c>
      <c r="E17" s="24">
        <v>13300</v>
      </c>
      <c r="F17" s="25" t="s">
        <v>16</v>
      </c>
      <c r="G17" s="50"/>
      <c r="H17" s="25">
        <f>E17*G17</f>
        <v>0</v>
      </c>
      <c r="I17" s="44"/>
      <c r="J17" s="44"/>
    </row>
    <row r="18" spans="2:10" s="1" customFormat="1" ht="61.5" customHeight="1" outlineLevel="4">
      <c r="B18" s="49" t="str">
        <f>HYPERLINK("http://rusat.tv/hdcvi-videoregistrator-dahua-dh-xvr5432l-x","HDCVI видеорегистратор Dahua DH-XVR5232AN-I3")</f>
        <v>HDCVI видеорегистратор Dahua DH-XVR5232AN-I3</v>
      </c>
      <c r="C18" s="22">
        <v>1</v>
      </c>
      <c r="D18" s="23">
        <v>5253</v>
      </c>
      <c r="E18" s="24">
        <v>32800</v>
      </c>
      <c r="F18" s="25" t="s">
        <v>16</v>
      </c>
      <c r="G18" s="50"/>
      <c r="H18" s="25">
        <f>E18*G18</f>
        <v>0</v>
      </c>
      <c r="I18" s="44"/>
      <c r="J18" s="44"/>
    </row>
    <row r="19" spans="2:10" s="1" customFormat="1" ht="61.5" customHeight="1" outlineLevel="4">
      <c r="B19" s="49" t="str">
        <f>HYPERLINK("http://rusat.tv/hd-cvi-videoregistrator-dh-hcvr5104he-s3-dlya-sistemy-videonablyudeniya","HDCVI видеорегистратор Dahua DHI-XVR5104C-I3")</f>
        <v>HDCVI видеорегистратор Dahua DHI-XVR5104C-I3</v>
      </c>
      <c r="C19" s="22">
        <v>3</v>
      </c>
      <c r="D19" s="23">
        <v>2034</v>
      </c>
      <c r="E19" s="24">
        <v>7000</v>
      </c>
      <c r="F19" s="25" t="s">
        <v>16</v>
      </c>
      <c r="G19" s="50"/>
      <c r="H19" s="25">
        <f>E19*G19</f>
        <v>0</v>
      </c>
      <c r="I19" s="44"/>
      <c r="J19" s="44"/>
    </row>
    <row r="20" spans="2:10" s="1" customFormat="1" ht="61.5" customHeight="1" outlineLevel="4">
      <c r="B20" s="49" t="str">
        <f>HYPERLINK("http://rusat.tv/hdcvi-videoregistrator-dahua-dhi-xvr5108c","HDCVI видеорегистратор Dahua DHI-XVR5108C-I3")</f>
        <v>HDCVI видеорегистратор Dahua DHI-XVR5108C-I3</v>
      </c>
      <c r="C20" s="22">
        <v>6</v>
      </c>
      <c r="D20" s="23">
        <v>1656</v>
      </c>
      <c r="E20" s="24">
        <v>8100</v>
      </c>
      <c r="F20" s="25" t="s">
        <v>16</v>
      </c>
      <c r="G20" s="50"/>
      <c r="H20" s="25">
        <f>E20*G20</f>
        <v>0</v>
      </c>
      <c r="I20" s="44"/>
      <c r="J20" s="44"/>
    </row>
    <row r="21" spans="2:10" s="1" customFormat="1" ht="61.5" customHeight="1" outlineLevel="4">
      <c r="B21" s="49" t="str">
        <f>HYPERLINK("http://rusat.tv/setevoy-videorekorder-dahua-dvr-hdcvi-dhi-xvr5116h","HDCVI видеорегистратор Dahua DHI-XVR5116HS-S2")</f>
        <v>HDCVI видеорегистратор Dahua DHI-XVR5116HS-S2</v>
      </c>
      <c r="C21" s="22">
        <v>2</v>
      </c>
      <c r="D21" s="23">
        <v>1985</v>
      </c>
      <c r="E21" s="24">
        <v>12900</v>
      </c>
      <c r="F21" s="25" t="s">
        <v>16</v>
      </c>
      <c r="G21" s="50"/>
      <c r="H21" s="25">
        <f>E21*G21</f>
        <v>0</v>
      </c>
      <c r="I21" s="44"/>
      <c r="J21" s="44"/>
    </row>
    <row r="22" spans="2:10" ht="12" customHeight="1" outlineLevel="3">
      <c r="B22" s="18" t="s">
        <v>17</v>
      </c>
      <c r="C22" s="19"/>
      <c r="D22" s="20"/>
      <c r="E22" s="21"/>
      <c r="F22" s="21"/>
      <c r="G22" s="48"/>
      <c r="H22" s="21">
        <f>E22*G22</f>
        <v>0</v>
      </c>
      <c r="I22" s="43"/>
      <c r="J22" s="43"/>
    </row>
    <row r="23" spans="2:10" s="1" customFormat="1" ht="61.5" customHeight="1" outlineLevel="4">
      <c r="B23" s="49" t="str">
        <f>HYPERLINK("http://rusat.tv/dahua-dh-pfm820-utc-kontroller-pereklyucheniya-signalov","Dahua DH-PFM820 UTC контроллер переключения сигналов")</f>
        <v>Dahua DH-PFM820 UTC контроллер переключения сигналов</v>
      </c>
      <c r="C23" s="22">
        <v>1</v>
      </c>
      <c r="D23" s="23">
        <v>1794</v>
      </c>
      <c r="E23" s="26">
        <v>820</v>
      </c>
      <c r="F23" s="25" t="s">
        <v>16</v>
      </c>
      <c r="G23" s="50"/>
      <c r="H23" s="25">
        <f>E23*G23</f>
        <v>0</v>
      </c>
      <c r="I23" s="44"/>
      <c r="J23" s="44"/>
    </row>
    <row r="24" spans="2:10" s="1" customFormat="1" ht="61.5" customHeight="1" outlineLevel="4">
      <c r="B24" s="49" t="str">
        <f>HYPERLINK("http://rusat.tv/dh-hac-hfw2401sp-0360b-videokamera-hd-cvi-4-megapikselya-","Видеокамера HD-CVI уличная DH-HAC-HFW2401SP-0360B")</f>
        <v>Видеокамера HD-CVI уличная DH-HAC-HFW2401SP-0360B</v>
      </c>
      <c r="C24" s="22">
        <v>1</v>
      </c>
      <c r="D24" s="23">
        <v>1791</v>
      </c>
      <c r="E24" s="24">
        <v>4000</v>
      </c>
      <c r="F24" s="25" t="s">
        <v>16</v>
      </c>
      <c r="G24" s="50"/>
      <c r="H24" s="25">
        <f>E24*G24</f>
        <v>0</v>
      </c>
      <c r="I24" s="44"/>
      <c r="J24" s="44"/>
    </row>
    <row r="25" spans="2:10" s="1" customFormat="1" ht="61.5" customHeight="1" outlineLevel="4">
      <c r="B25" s="49" t="str">
        <f>HYPERLINK("http://rusat.tv/videokamera-hdcvi-kupolnaya-hac-hdw1000rp-0280b-s3-2","Видеокамера HDCVI купольная HAC-HDW1000MP-0280B-S3")</f>
        <v>Видеокамера HDCVI купольная HAC-HDW1000MP-0280B-S3</v>
      </c>
      <c r="C25" s="22">
        <v>1</v>
      </c>
      <c r="D25" s="23">
        <v>2452</v>
      </c>
      <c r="E25" s="24">
        <v>1200</v>
      </c>
      <c r="F25" s="25" t="s">
        <v>16</v>
      </c>
      <c r="G25" s="50"/>
      <c r="H25" s="25">
        <f>E25*G25</f>
        <v>0</v>
      </c>
      <c r="I25" s="44"/>
      <c r="J25" s="44"/>
    </row>
    <row r="26" spans="2:10" s="1" customFormat="1" ht="61.5" customHeight="1" outlineLevel="4">
      <c r="B26" s="49" t="str">
        <f>HYPERLINK("http://rusat.tv/videokamera-hdcvi-kupolnaya-hac-hdw1500trqp-a-0360b","Видеокамера HDCVI купольная HAC-HDW1500TRQP-A-0360B")</f>
        <v>Видеокамера HDCVI купольная HAC-HDW1500TRQP-A-0360B</v>
      </c>
      <c r="C26" s="22">
        <v>2</v>
      </c>
      <c r="D26" s="23">
        <v>9401</v>
      </c>
      <c r="E26" s="24">
        <v>3200</v>
      </c>
      <c r="F26" s="25" t="s">
        <v>16</v>
      </c>
      <c r="G26" s="50"/>
      <c r="H26" s="25">
        <f>E26*G26</f>
        <v>0</v>
      </c>
      <c r="I26" s="44"/>
      <c r="J26" s="44"/>
    </row>
    <row r="27" spans="2:10" s="1" customFormat="1" ht="61.5" customHeight="1" outlineLevel="4">
      <c r="B27" s="49" t="str">
        <f>HYPERLINK("http://rusat.tv/videokamera-hdcvi-kupolnaya-hac-hdw1100rp-vf","Видеокамера HDCVI уличная DH-HAC-HDW1200EMP-A-POC-0280B-S3")</f>
        <v>Видеокамера HDCVI уличная DH-HAC-HDW1200EMP-A-POC-0280B-S3</v>
      </c>
      <c r="C27" s="22">
        <v>7</v>
      </c>
      <c r="D27" s="23">
        <v>1643</v>
      </c>
      <c r="E27" s="24">
        <v>2154</v>
      </c>
      <c r="F27" s="25" t="s">
        <v>16</v>
      </c>
      <c r="G27" s="50"/>
      <c r="H27" s="25">
        <f>E27*G27</f>
        <v>0</v>
      </c>
      <c r="I27" s="44"/>
      <c r="J27" s="44"/>
    </row>
    <row r="28" spans="2:10" s="1" customFormat="1" ht="61.5" customHeight="1" outlineLevel="4">
      <c r="B28" s="49" t="str">
        <f>HYPERLINK("http://rusat.tv/dh-hac-hdw1220emp-a-0280b-s3-dahua-videokamera-kupolnaya-antivandalnaya-multiformatnaya","Видеокамера HDCVI уличная DH-HAC-HDW1220EMP-A-0360B-S3")</f>
        <v>Видеокамера HDCVI уличная DH-HAC-HDW1220EMP-A-0360B-S3</v>
      </c>
      <c r="C28" s="22">
        <v>1</v>
      </c>
      <c r="D28" s="23">
        <v>1645</v>
      </c>
      <c r="E28" s="24">
        <v>2154</v>
      </c>
      <c r="F28" s="25" t="s">
        <v>16</v>
      </c>
      <c r="G28" s="50"/>
      <c r="H28" s="25">
        <f>E28*G28</f>
        <v>0</v>
      </c>
      <c r="I28" s="44"/>
      <c r="J28" s="44"/>
    </row>
    <row r="29" spans="2:10" s="1" customFormat="1" ht="61.5" customHeight="1" outlineLevel="4">
      <c r="B29" s="49" t="str">
        <f>HYPERLINK("http://rusat.tv/videokamera-hdcvi-ulichnaya-dh-hac-hdw1220mp-0280b-s3","Видеокамера HDCVI уличная DH-HAC-HDW1220MP-0280B-S3")</f>
        <v>Видеокамера HDCVI уличная DH-HAC-HDW1220MP-0280B-S3</v>
      </c>
      <c r="C29" s="22">
        <v>1</v>
      </c>
      <c r="D29" s="23">
        <v>3584</v>
      </c>
      <c r="E29" s="24">
        <v>1850</v>
      </c>
      <c r="F29" s="25" t="s">
        <v>16</v>
      </c>
      <c r="G29" s="50"/>
      <c r="H29" s="25">
        <f>E29*G29</f>
        <v>0</v>
      </c>
      <c r="I29" s="44"/>
      <c r="J29" s="44"/>
    </row>
    <row r="30" spans="2:10" s="1" customFormat="1" ht="61.5" customHeight="1" outlineLevel="4">
      <c r="B30" s="49" t="str">
        <f>HYPERLINK("http://rusat.tv/videokamera-dahua-hdcvi-dh-hac-hfw1000sp-0360b-s3","Видеокамера HDCVI уличная DH-HAC-HFW1000SP-0360B-S3")</f>
        <v>Видеокамера HDCVI уличная DH-HAC-HFW1000SP-0360B-S3</v>
      </c>
      <c r="C30" s="22">
        <v>1</v>
      </c>
      <c r="D30" s="23">
        <v>1646</v>
      </c>
      <c r="E30" s="24">
        <v>1500</v>
      </c>
      <c r="F30" s="25" t="s">
        <v>16</v>
      </c>
      <c r="G30" s="50"/>
      <c r="H30" s="25">
        <f>E30*G30</f>
        <v>0</v>
      </c>
      <c r="I30" s="44"/>
      <c r="J30" s="44"/>
    </row>
    <row r="31" spans="2:10" s="1" customFormat="1" ht="61.5" customHeight="1" outlineLevel="4">
      <c r="B31" s="49" t="str">
        <f>HYPERLINK("http://rusat.tv/videokamera-hdcvi-ulichnaya-dh-hac-hfw1000rmp-0360b-s3","Видеокамера HDCVI уличная DH-HAC-HFW1200TP-0280B")</f>
        <v>Видеокамера HDCVI уличная DH-HAC-HFW1200TP-0280B</v>
      </c>
      <c r="C31" s="22">
        <v>6</v>
      </c>
      <c r="D31" s="23">
        <v>5356</v>
      </c>
      <c r="E31" s="24">
        <v>2000</v>
      </c>
      <c r="F31" s="25" t="s">
        <v>16</v>
      </c>
      <c r="G31" s="50"/>
      <c r="H31" s="25">
        <f>E31*G31</f>
        <v>0</v>
      </c>
      <c r="I31" s="44"/>
      <c r="J31" s="44"/>
    </row>
    <row r="32" spans="2:10" s="1" customFormat="1" ht="61.5" customHeight="1" outlineLevel="4">
      <c r="B32" s="49" t="str">
        <f>HYPERLINK("http://rusat.tv/videokamera-hdcvi-ulichnaya-dh-hac-hfw1200sp-0600b-s3","Видеокамера HDCVI уличная DH-HAC-HFW1200TP-0360B")</f>
        <v>Видеокамера HDCVI уличная DH-HAC-HFW1200TP-0360B</v>
      </c>
      <c r="C32" s="22">
        <v>1</v>
      </c>
      <c r="D32" s="23">
        <v>1992</v>
      </c>
      <c r="E32" s="24">
        <v>1900</v>
      </c>
      <c r="F32" s="25" t="s">
        <v>16</v>
      </c>
      <c r="G32" s="50"/>
      <c r="H32" s="25">
        <f>E32*G32</f>
        <v>0</v>
      </c>
      <c r="I32" s="44"/>
      <c r="J32" s="44"/>
    </row>
    <row r="33" spans="2:10" s="1" customFormat="1" ht="61.5" customHeight="1" outlineLevel="4">
      <c r="B33" s="49" t="str">
        <f>HYPERLINK("http://rusat.tv/videokamera-hdcvi-ulichnaya-dh-hac-hfw1220rp-0360b-s3","Видеокамера HDCVI уличная DH-HAC-HFW1220RP-0280B")</f>
        <v>Видеокамера HDCVI уличная DH-HAC-HFW1220RP-0280B</v>
      </c>
      <c r="C33" s="22">
        <v>1</v>
      </c>
      <c r="D33" s="23">
        <v>2763</v>
      </c>
      <c r="E33" s="24">
        <v>1500</v>
      </c>
      <c r="F33" s="25" t="s">
        <v>16</v>
      </c>
      <c r="G33" s="50"/>
      <c r="H33" s="25">
        <f>E33*G33</f>
        <v>0</v>
      </c>
      <c r="I33" s="44"/>
      <c r="J33" s="44"/>
    </row>
    <row r="34" spans="2:10" s="1" customFormat="1" ht="61.5" customHeight="1" outlineLevel="4">
      <c r="B34" s="49" t="str">
        <f>HYPERLINK("http://rusat.tv/videokamera-hdcvi-ulichnaya-dh-hac-hfw1400tp-0360b","Видеокамера HDCVI уличная DH-HAC-HFW1400TP-0280B")</f>
        <v>Видеокамера HDCVI уличная DH-HAC-HFW1400TP-0280B</v>
      </c>
      <c r="C34" s="22">
        <v>1</v>
      </c>
      <c r="D34" s="23">
        <v>2370</v>
      </c>
      <c r="E34" s="24">
        <v>2630</v>
      </c>
      <c r="F34" s="25" t="s">
        <v>16</v>
      </c>
      <c r="G34" s="50"/>
      <c r="H34" s="25">
        <f>E34*G34</f>
        <v>0</v>
      </c>
      <c r="I34" s="44"/>
      <c r="J34" s="44"/>
    </row>
    <row r="35" spans="2:10" s="1" customFormat="1" ht="61.5" customHeight="1" outlineLevel="4">
      <c r="B35" s="49" t="str">
        <f>HYPERLINK("http://rusat.tv/videokamera-hdcvi-ulichnaya-dh-hac-hfw1500cmp-il-a-0280b","Видеокамера HDCVI уличная DH-HAC-HFW1500CLP-IL-A-0280B")</f>
        <v>Видеокамера HDCVI уличная DH-HAC-HFW1500CLP-IL-A-0280B</v>
      </c>
      <c r="C35" s="22">
        <v>9</v>
      </c>
      <c r="D35" s="23">
        <v>9594</v>
      </c>
      <c r="E35" s="24">
        <v>2600</v>
      </c>
      <c r="F35" s="25" t="s">
        <v>16</v>
      </c>
      <c r="G35" s="50"/>
      <c r="H35" s="25">
        <f>E35*G35</f>
        <v>0</v>
      </c>
      <c r="I35" s="44"/>
      <c r="J35" s="44"/>
    </row>
    <row r="36" spans="2:10" s="1" customFormat="1" ht="61.5" customHeight="1" outlineLevel="4">
      <c r="B36" s="49" t="str">
        <f>HYPERLINK("http://rusat.tv/videokamera-hdcvi-ulichnaya-dh-hac-hfw1500cp-0280b","Видеокамера HDCVI уличная DH-HAC-HFW1500CP-0280B")</f>
        <v>Видеокамера HDCVI уличная DH-HAC-HFW1500CP-0280B</v>
      </c>
      <c r="C36" s="22">
        <v>1</v>
      </c>
      <c r="D36" s="23">
        <v>6248</v>
      </c>
      <c r="E36" s="24">
        <v>2400</v>
      </c>
      <c r="F36" s="25" t="s">
        <v>16</v>
      </c>
      <c r="G36" s="50"/>
      <c r="H36" s="25">
        <f>E36*G36</f>
        <v>0</v>
      </c>
      <c r="I36" s="44"/>
      <c r="J36" s="44"/>
    </row>
    <row r="37" spans="2:10" s="1" customFormat="1" ht="61.5" customHeight="1" outlineLevel="4">
      <c r="B37" s="49" t="str">
        <f>HYPERLINK("http://rusat.tv/videokamera-hdcvi-ulichnaya-dh-hac-hfw1500cp-0360b","Видеокамера HDCVI уличная DH-HAC-HFW1500CP-0360B")</f>
        <v>Видеокамера HDCVI уличная DH-HAC-HFW1500CP-0360B</v>
      </c>
      <c r="C37" s="22">
        <v>1</v>
      </c>
      <c r="D37" s="23">
        <v>6487</v>
      </c>
      <c r="E37" s="24">
        <v>2400</v>
      </c>
      <c r="F37" s="25" t="s">
        <v>16</v>
      </c>
      <c r="G37" s="50"/>
      <c r="H37" s="25">
        <f>E37*G37</f>
        <v>0</v>
      </c>
      <c r="I37" s="44"/>
      <c r="J37" s="44"/>
    </row>
    <row r="38" spans="2:10" s="1" customFormat="1" ht="61.5" customHeight="1" outlineLevel="4">
      <c r="B38" s="49" t="str">
        <f>HYPERLINK("http://rusat.tv/videokamera-hdcvi-ulichnaya-hac-hdw1220rp-vf","Видеокамера HDCVI уличная HAC-HDW1220RP-VF")</f>
        <v>Видеокамера HDCVI уличная HAC-HDW1220RP-VF</v>
      </c>
      <c r="C38" s="22">
        <v>1</v>
      </c>
      <c r="D38" s="23">
        <v>4844</v>
      </c>
      <c r="E38" s="24">
        <v>3300</v>
      </c>
      <c r="F38" s="25" t="s">
        <v>16</v>
      </c>
      <c r="G38" s="50"/>
      <c r="H38" s="25">
        <f>E38*G38</f>
        <v>0</v>
      </c>
      <c r="I38" s="44"/>
      <c r="J38" s="44"/>
    </row>
    <row r="39" spans="2:10" ht="12" customHeight="1" outlineLevel="3">
      <c r="B39" s="18" t="s">
        <v>18</v>
      </c>
      <c r="C39" s="19"/>
      <c r="D39" s="20"/>
      <c r="E39" s="21"/>
      <c r="F39" s="21"/>
      <c r="G39" s="48"/>
      <c r="H39" s="21">
        <f>E39*G39</f>
        <v>0</v>
      </c>
      <c r="I39" s="43"/>
      <c r="J39" s="43"/>
    </row>
    <row r="40" spans="2:10" s="1" customFormat="1" ht="61.5" customHeight="1" outlineLevel="4">
      <c r="B40" s="49" t="str">
        <f>HYPERLINK("http://rusat.tv/ip-videoregistrator-dh-nvr2104-4ks2","IP видеорегистратор DH-NVR2104-4KS2")</f>
        <v>IP видеорегистратор DH-NVR2104-4KS2</v>
      </c>
      <c r="C40" s="22">
        <v>1</v>
      </c>
      <c r="D40" s="23">
        <v>4858</v>
      </c>
      <c r="E40" s="24">
        <v>5300</v>
      </c>
      <c r="F40" s="25" t="s">
        <v>16</v>
      </c>
      <c r="G40" s="50"/>
      <c r="H40" s="25">
        <f>E40*G40</f>
        <v>0</v>
      </c>
      <c r="I40" s="44"/>
      <c r="J40" s="44"/>
    </row>
    <row r="41" spans="2:10" s="1" customFormat="1" ht="61.5" customHeight="1" outlineLevel="4">
      <c r="B41" s="49" t="str">
        <f>HYPERLINK("http://rusat.tv/ip-videoregistrator-dh-nvr2108-s2-2","IP видеорегистратор DH-NVR2108-I2")</f>
        <v>IP видеорегистратор DH-NVR2108-I2</v>
      </c>
      <c r="C41" s="22">
        <v>1</v>
      </c>
      <c r="D41" s="23">
        <v>2295</v>
      </c>
      <c r="E41" s="24">
        <v>7100</v>
      </c>
      <c r="F41" s="25" t="s">
        <v>16</v>
      </c>
      <c r="G41" s="50"/>
      <c r="H41" s="25">
        <f>E41*G41</f>
        <v>0</v>
      </c>
      <c r="I41" s="44"/>
      <c r="J41" s="44"/>
    </row>
    <row r="42" spans="2:10" s="1" customFormat="1" ht="61.5" customHeight="1" outlineLevel="4">
      <c r="B42" s="49" t="str">
        <f>HYPERLINK("http://rusat.tv/ip-videoregistrator-dhi-nvr2104-s2","IP видеорегистратор DHI-NVR2104-S3")</f>
        <v>IP видеорегистратор DHI-NVR2104-S3</v>
      </c>
      <c r="C42" s="22">
        <v>1</v>
      </c>
      <c r="D42" s="23">
        <v>2112</v>
      </c>
      <c r="E42" s="24">
        <v>3600</v>
      </c>
      <c r="F42" s="25" t="s">
        <v>16</v>
      </c>
      <c r="G42" s="50"/>
      <c r="H42" s="25">
        <f>E42*G42</f>
        <v>0</v>
      </c>
      <c r="I42" s="44"/>
      <c r="J42" s="44"/>
    </row>
    <row r="43" spans="2:10" s="1" customFormat="1" ht="61.5" customHeight="1" outlineLevel="4">
      <c r="B43" s="49" t="str">
        <f>HYPERLINK("http://rusat.tv/ip-videoregistrator-dhi-nvr4216-4ks2","IP видеорегистратор DHI-NVR4216-4KS2/L")</f>
        <v>IP видеорегистратор DHI-NVR4216-4KS2/L</v>
      </c>
      <c r="C43" s="22">
        <v>1</v>
      </c>
      <c r="D43" s="23">
        <v>2121</v>
      </c>
      <c r="E43" s="24">
        <v>11700</v>
      </c>
      <c r="F43" s="25" t="s">
        <v>16</v>
      </c>
      <c r="G43" s="50"/>
      <c r="H43" s="25">
        <f>E43*G43</f>
        <v>0</v>
      </c>
      <c r="I43" s="44"/>
      <c r="J43" s="44"/>
    </row>
    <row r="44" spans="2:10" ht="12" customHeight="1" outlineLevel="3">
      <c r="B44" s="18" t="s">
        <v>19</v>
      </c>
      <c r="C44" s="19"/>
      <c r="D44" s="20"/>
      <c r="E44" s="21"/>
      <c r="F44" s="21"/>
      <c r="G44" s="48"/>
      <c r="H44" s="21">
        <f>E44*G44</f>
        <v>0</v>
      </c>
      <c r="I44" s="43"/>
      <c r="J44" s="43"/>
    </row>
    <row r="45" spans="2:10" s="1" customFormat="1" ht="61.5" customHeight="1" outlineLevel="4">
      <c r="B45" s="49" t="str">
        <f>HYPERLINK("http://rusat.tv/ip-videokamera-dh-ipc-a15p","IP видеокамера DH-IPC-A15P")</f>
        <v>IP видеокамера DH-IPC-A15P</v>
      </c>
      <c r="C45" s="22">
        <v>1</v>
      </c>
      <c r="D45" s="23">
        <v>3484</v>
      </c>
      <c r="E45" s="24">
        <v>6200</v>
      </c>
      <c r="F45" s="25" t="s">
        <v>16</v>
      </c>
      <c r="G45" s="50"/>
      <c r="H45" s="25">
        <f>E45*G45</f>
        <v>0</v>
      </c>
      <c r="I45" s="44"/>
      <c r="J45" s="44"/>
    </row>
    <row r="46" spans="2:10" s="1" customFormat="1" ht="61.5" customHeight="1" outlineLevel="4">
      <c r="B46" s="49" t="str">
        <f>HYPERLINK("http://rusat.tv/ip-videokamera-dh-ipc-hdbw1420ep-0280b","IP видеокамера DH-IPC-HDBW1431EP-S-0280B")</f>
        <v>IP видеокамера DH-IPC-HDBW1431EP-S-0280B</v>
      </c>
      <c r="C46" s="22">
        <v>4</v>
      </c>
      <c r="D46" s="23">
        <v>3316</v>
      </c>
      <c r="E46" s="24">
        <v>5500</v>
      </c>
      <c r="F46" s="25" t="s">
        <v>16</v>
      </c>
      <c r="G46" s="50"/>
      <c r="H46" s="25">
        <f>E46*G46</f>
        <v>0</v>
      </c>
      <c r="I46" s="44"/>
      <c r="J46" s="44"/>
    </row>
    <row r="47" spans="2:10" s="1" customFormat="1" ht="61.5" customHeight="1" outlineLevel="4">
      <c r="B47" s="49" t="str">
        <f>HYPERLINK("http://rusat.tv/ip-videokamera-dh-ipc-hdbw4831ep-ase-0280b","IP видеокамера DH-IPC-HDBW2231FP-AS-0280B")</f>
        <v>IP видеокамера DH-IPC-HDBW2231FP-AS-0280B</v>
      </c>
      <c r="C47" s="22">
        <v>1</v>
      </c>
      <c r="D47" s="23">
        <v>4778</v>
      </c>
      <c r="E47" s="24">
        <v>6900</v>
      </c>
      <c r="F47" s="25" t="s">
        <v>16</v>
      </c>
      <c r="G47" s="50"/>
      <c r="H47" s="25">
        <f>E47*G47</f>
        <v>0</v>
      </c>
      <c r="I47" s="44"/>
      <c r="J47" s="44"/>
    </row>
    <row r="48" spans="2:10" s="1" customFormat="1" ht="61.5" customHeight="1" outlineLevel="4">
      <c r="B48" s="49" t="str">
        <f>HYPERLINK("http://rusat.tv/ip-videokamera-dh-ipc-hdbw4831ep-0280b","IP видеокамера DH-IPC-HDW2230TP-AS-0280B")</f>
        <v>IP видеокамера DH-IPC-HDW2230TP-AS-0280B</v>
      </c>
      <c r="C48" s="22">
        <v>3</v>
      </c>
      <c r="D48" s="23">
        <v>4779</v>
      </c>
      <c r="E48" s="24">
        <v>5500</v>
      </c>
      <c r="F48" s="25" t="s">
        <v>16</v>
      </c>
      <c r="G48" s="50"/>
      <c r="H48" s="25">
        <f>E48*G48</f>
        <v>0</v>
      </c>
      <c r="I48" s="44"/>
      <c r="J48" s="44"/>
    </row>
    <row r="49" spans="2:10" s="1" customFormat="1" ht="61.5" customHeight="1" outlineLevel="4">
      <c r="B49" s="49" t="str">
        <f>HYPERLINK("http://rusat.tv/ip-videokamera-dh-ipc-hdw2431tp-as-0280b","IP видеокамера DH-IPC-HDW2431TP-AS-0280B")</f>
        <v>IP видеокамера DH-IPC-HDW2431TP-AS-0280B</v>
      </c>
      <c r="C49" s="22">
        <v>3</v>
      </c>
      <c r="D49" s="23">
        <v>5149</v>
      </c>
      <c r="E49" s="24">
        <v>6600</v>
      </c>
      <c r="F49" s="25" t="s">
        <v>16</v>
      </c>
      <c r="G49" s="50"/>
      <c r="H49" s="25">
        <f>E49*G49</f>
        <v>0</v>
      </c>
      <c r="I49" s="44"/>
      <c r="J49" s="44"/>
    </row>
    <row r="50" spans="2:10" s="1" customFormat="1" ht="61.5" customHeight="1" outlineLevel="4">
      <c r="B50" s="49" t="str">
        <f>HYPERLINK("http://rusat.tv/ip-videokamera-dh-ipc-hfw2230sp-s-0280b-2","IP видеокамера DH-IPC-HFW2230SP-S-0280B")</f>
        <v>IP видеокамера DH-IPC-HFW2230SP-S-0280B</v>
      </c>
      <c r="C50" s="22">
        <v>6</v>
      </c>
      <c r="D50" s="23">
        <v>5404</v>
      </c>
      <c r="E50" s="24">
        <v>5500</v>
      </c>
      <c r="F50" s="25" t="s">
        <v>16</v>
      </c>
      <c r="G50" s="50"/>
      <c r="H50" s="25">
        <f>E50*G50</f>
        <v>0</v>
      </c>
      <c r="I50" s="44"/>
      <c r="J50" s="44"/>
    </row>
    <row r="51" spans="2:10" s="1" customFormat="1" ht="61.5" customHeight="1" outlineLevel="4">
      <c r="B51" s="49" t="str">
        <f>HYPERLINK("http://rusat.tv/ip-videokamera-dh-ipc-hfw2431sp-s-0360b-2","IP видеокамера DH-IPC-HFW2431SP-S-0280B")</f>
        <v>IP видеокамера DH-IPC-HFW2431SP-S-0280B</v>
      </c>
      <c r="C51" s="22">
        <v>2</v>
      </c>
      <c r="D51" s="23">
        <v>5833</v>
      </c>
      <c r="E51" s="24">
        <v>6800</v>
      </c>
      <c r="F51" s="25" t="s">
        <v>16</v>
      </c>
      <c r="G51" s="50"/>
      <c r="H51" s="25">
        <f>E51*G51</f>
        <v>0</v>
      </c>
      <c r="I51" s="44"/>
      <c r="J51" s="44"/>
    </row>
    <row r="52" spans="2:10" s="1" customFormat="1" ht="61.5" customHeight="1" outlineLevel="4">
      <c r="B52" s="49" t="str">
        <f>HYPERLINK("http://rusat.tv/ip-videokamera-dh-ipc-k15ap","IP видеокамера DH-IPC-K15AP")</f>
        <v>IP видеокамера DH-IPC-K15AP</v>
      </c>
      <c r="C52" s="22">
        <v>1</v>
      </c>
      <c r="D52" s="23">
        <v>2908</v>
      </c>
      <c r="E52" s="24">
        <v>4250</v>
      </c>
      <c r="F52" s="25" t="s">
        <v>16</v>
      </c>
      <c r="G52" s="50"/>
      <c r="H52" s="25">
        <f>E52*G52</f>
        <v>0</v>
      </c>
      <c r="I52" s="44"/>
      <c r="J52" s="44"/>
    </row>
    <row r="53" spans="2:10" s="1" customFormat="1" ht="61.5" customHeight="1" outlineLevel="4">
      <c r="B53" s="49" t="str">
        <f>HYPERLINK("http://rusat.tv/ip-videokamera-ipc-hfw1120sp-0360b","IP-видеокамера IPC-HFW1120SP-0360B")</f>
        <v>IP-видеокамера IPC-HFW1120SP-0360B</v>
      </c>
      <c r="C53" s="22">
        <v>3</v>
      </c>
      <c r="D53" s="23">
        <v>3485</v>
      </c>
      <c r="E53" s="24">
        <v>3100</v>
      </c>
      <c r="F53" s="25" t="s">
        <v>16</v>
      </c>
      <c r="G53" s="50"/>
      <c r="H53" s="25">
        <f>E53*G53</f>
        <v>0</v>
      </c>
      <c r="I53" s="44"/>
      <c r="J53" s="44"/>
    </row>
    <row r="54" spans="2:10" ht="12" customHeight="1" outlineLevel="3">
      <c r="B54" s="18" t="s">
        <v>20</v>
      </c>
      <c r="C54" s="19"/>
      <c r="D54" s="20"/>
      <c r="E54" s="21"/>
      <c r="F54" s="21"/>
      <c r="G54" s="48"/>
      <c r="H54" s="21">
        <f>E54*G54</f>
        <v>0</v>
      </c>
      <c r="I54" s="43"/>
      <c r="J54" s="43"/>
    </row>
    <row r="55" spans="2:10" ht="12" customHeight="1" outlineLevel="4">
      <c r="B55" s="27" t="s">
        <v>21</v>
      </c>
      <c r="C55" s="28"/>
      <c r="D55" s="29"/>
      <c r="E55" s="30"/>
      <c r="F55" s="30"/>
      <c r="G55" s="51"/>
      <c r="H55" s="30">
        <f>E55*G55</f>
        <v>0</v>
      </c>
      <c r="I55" s="45"/>
      <c r="J55" s="45"/>
    </row>
    <row r="56" spans="2:10" s="1" customFormat="1" ht="61.5" customHeight="1" outlineLevel="5">
      <c r="B56" s="49" t="str">
        <f>HYPERLINK("http://rusat.tv/videokamera-hdcvi-ulichnaya-dh-hac-hfw2501tp-z-a-27125","EZ-HAC-B5B20P-A-0360B")</f>
        <v>EZ-HAC-B5B20P-A-0360B</v>
      </c>
      <c r="C56" s="22">
        <v>2</v>
      </c>
      <c r="D56" s="23">
        <v>4876</v>
      </c>
      <c r="E56" s="24">
        <v>2400</v>
      </c>
      <c r="F56" s="25" t="s">
        <v>16</v>
      </c>
      <c r="G56" s="50"/>
      <c r="H56" s="25">
        <f>E56*G56</f>
        <v>0</v>
      </c>
      <c r="I56" s="44"/>
      <c r="J56" s="44"/>
    </row>
    <row r="57" spans="2:10" s="1" customFormat="1" ht="61.5" customHeight="1" outlineLevel="5">
      <c r="B57" s="49" t="str">
        <f>HYPERLINK("http://rusat.tv/videokamera-hdcvi-ulichnaya-dh-hac-hfw1000rmp-0280b-s3","EZ-HAC-D1A21P-0280B HDCVI камера")</f>
        <v>EZ-HAC-D1A21P-0280B HDCVI камера</v>
      </c>
      <c r="C57" s="22">
        <v>3</v>
      </c>
      <c r="D57" s="23">
        <v>4093</v>
      </c>
      <c r="E57" s="24">
        <v>2590</v>
      </c>
      <c r="F57" s="25" t="s">
        <v>16</v>
      </c>
      <c r="G57" s="50"/>
      <c r="H57" s="25">
        <f>E57*G57</f>
        <v>0</v>
      </c>
      <c r="I57" s="44"/>
      <c r="J57" s="44"/>
    </row>
    <row r="58" spans="2:10" s="1" customFormat="1" ht="61.5" customHeight="1" outlineLevel="5">
      <c r="B58" s="49" t="str">
        <f>HYPERLINK("http://rusat.tv/ez-hac-t2a21p-0280b-hdcvi-kamera","EZ-HAC-T2A21P-0280B HDCVI камера")</f>
        <v>EZ-HAC-T2A21P-0280B HDCVI камера</v>
      </c>
      <c r="C58" s="22">
        <v>1</v>
      </c>
      <c r="D58" s="23">
        <v>5540</v>
      </c>
      <c r="E58" s="24">
        <v>1850</v>
      </c>
      <c r="F58" s="25" t="s">
        <v>16</v>
      </c>
      <c r="G58" s="50"/>
      <c r="H58" s="25">
        <f>E58*G58</f>
        <v>0</v>
      </c>
      <c r="I58" s="44"/>
      <c r="J58" s="44"/>
    </row>
    <row r="59" spans="2:10" ht="12" customHeight="1" outlineLevel="4">
      <c r="B59" s="27" t="s">
        <v>22</v>
      </c>
      <c r="C59" s="28"/>
      <c r="D59" s="29"/>
      <c r="E59" s="30"/>
      <c r="F59" s="30"/>
      <c r="G59" s="51"/>
      <c r="H59" s="30">
        <f>E59*G59</f>
        <v>0</v>
      </c>
      <c r="I59" s="45"/>
      <c r="J59" s="45"/>
    </row>
    <row r="60" spans="2:10" s="1" customFormat="1" ht="61.5" customHeight="1" outlineLevel="5">
      <c r="B60" s="49" t="str">
        <f>HYPERLINK("http://rusat.tv/ip-videoregistrator-dhi-nvr1b08hs-8p","IP видеорегистратор EZ-NVR1B08HS-8P/H")</f>
        <v>IP видеорегистратор EZ-NVR1B08HS-8P/H</v>
      </c>
      <c r="C60" s="22">
        <v>2</v>
      </c>
      <c r="D60" s="23">
        <v>5176</v>
      </c>
      <c r="E60" s="24">
        <v>9600</v>
      </c>
      <c r="F60" s="25" t="s">
        <v>16</v>
      </c>
      <c r="G60" s="50"/>
      <c r="H60" s="25">
        <f>E60*G60</f>
        <v>0</v>
      </c>
      <c r="I60" s="44"/>
      <c r="J60" s="44"/>
    </row>
    <row r="61" spans="2:10" ht="12" customHeight="1" outlineLevel="4">
      <c r="B61" s="27" t="s">
        <v>23</v>
      </c>
      <c r="C61" s="28"/>
      <c r="D61" s="29"/>
      <c r="E61" s="30"/>
      <c r="F61" s="30"/>
      <c r="G61" s="51"/>
      <c r="H61" s="30">
        <f>E61*G61</f>
        <v>0</v>
      </c>
      <c r="I61" s="45"/>
      <c r="J61" s="45"/>
    </row>
    <row r="62" spans="2:10" s="1" customFormat="1" ht="61.5" customHeight="1" outlineLevel="5">
      <c r="B62" s="49" t="str">
        <f>HYPERLINK("http://rusat.tv/ip-videokamera-ez-ip-b1b20p-0280b","IP-видеокамера EZ-IP-B1B20P-0280B")</f>
        <v>IP-видеокамера EZ-IP-B1B20P-0280B</v>
      </c>
      <c r="C62" s="22">
        <v>10</v>
      </c>
      <c r="D62" s="23">
        <v>5174</v>
      </c>
      <c r="E62" s="24">
        <v>3700</v>
      </c>
      <c r="F62" s="25" t="s">
        <v>16</v>
      </c>
      <c r="G62" s="50"/>
      <c r="H62" s="25">
        <f>E62*G62</f>
        <v>0</v>
      </c>
      <c r="I62" s="44"/>
      <c r="J62" s="44"/>
    </row>
    <row r="63" spans="2:10" s="1" customFormat="1" ht="61.5" customHeight="1" outlineLevel="5">
      <c r="B63" s="49" t="str">
        <f>HYPERLINK("http://rusat.tv/ip-videokamera-ez-ip-b1b20p-led-0280b","IP-видеокамера EZ-IP-B1B20P-LED-0280B")</f>
        <v>IP-видеокамера EZ-IP-B1B20P-LED-0280B</v>
      </c>
      <c r="C63" s="22">
        <v>1</v>
      </c>
      <c r="D63" s="23">
        <v>5809</v>
      </c>
      <c r="E63" s="24">
        <v>3900</v>
      </c>
      <c r="F63" s="25" t="s">
        <v>16</v>
      </c>
      <c r="G63" s="50"/>
      <c r="H63" s="25">
        <f>E63*G63</f>
        <v>0</v>
      </c>
      <c r="I63" s="44"/>
      <c r="J63" s="44"/>
    </row>
    <row r="64" spans="2:10" s="1" customFormat="1" ht="61.5" customHeight="1" outlineLevel="5">
      <c r="B64" s="49" t="str">
        <f>HYPERLINK("http://rusat.tv/ip-videokamera-ez-ip-b1b41p-0280b","IP-видеокамера EZ-IP-B1B41P-0280B")</f>
        <v>IP-видеокамера EZ-IP-B1B41P-0280B</v>
      </c>
      <c r="C64" s="22">
        <v>5</v>
      </c>
      <c r="D64" s="23">
        <v>5470</v>
      </c>
      <c r="E64" s="24">
        <v>4800</v>
      </c>
      <c r="F64" s="25" t="s">
        <v>16</v>
      </c>
      <c r="G64" s="50"/>
      <c r="H64" s="25">
        <f>E64*G64</f>
        <v>0</v>
      </c>
      <c r="I64" s="44"/>
      <c r="J64" s="44"/>
    </row>
    <row r="65" spans="2:10" s="1" customFormat="1" ht="61.5" customHeight="1" outlineLevel="5">
      <c r="B65" s="49" t="str">
        <f>HYPERLINK("http://rusat.tv/ip-videokamera-ez-ipc-b3b20p-0280b","IP-видеокамера EZ-IPC-B3B20P-0280B")</f>
        <v>IP-видеокамера EZ-IPC-B3B20P-0280B</v>
      </c>
      <c r="C65" s="22">
        <v>1</v>
      </c>
      <c r="D65" s="23">
        <v>5916</v>
      </c>
      <c r="E65" s="24">
        <v>5000</v>
      </c>
      <c r="F65" s="25" t="s">
        <v>16</v>
      </c>
      <c r="G65" s="50"/>
      <c r="H65" s="25">
        <f>E65*G65</f>
        <v>0</v>
      </c>
      <c r="I65" s="44"/>
      <c r="J65" s="44"/>
    </row>
    <row r="66" spans="2:10" s="1" customFormat="1" ht="61.5" customHeight="1" outlineLevel="5">
      <c r="B66" s="49" t="str">
        <f>HYPERLINK("http://rusat.tv/ip-videokamera-ez-ipc-t1b41p-0360b","IP-видеокамера EZ-IPC-T1B41P-0280B")</f>
        <v>IP-видеокамера EZ-IPC-T1B41P-0280B</v>
      </c>
      <c r="C66" s="22">
        <v>2</v>
      </c>
      <c r="D66" s="23">
        <v>5731</v>
      </c>
      <c r="E66" s="24">
        <v>4900</v>
      </c>
      <c r="F66" s="25" t="s">
        <v>16</v>
      </c>
      <c r="G66" s="50"/>
      <c r="H66" s="25">
        <f>E66*G66</f>
        <v>0</v>
      </c>
      <c r="I66" s="44"/>
      <c r="J66" s="44"/>
    </row>
    <row r="67" spans="2:10" s="1" customFormat="1" ht="61.5" customHeight="1" outlineLevel="5">
      <c r="B67" s="49" t="str">
        <f>HYPERLINK("http://rusat.tv/ip-videokamera-ez-ipc-t1b41p-0360b-2","IP-видеокамера EZ-IPC-T1B41P-0360B")</f>
        <v>IP-видеокамера EZ-IPC-T1B41P-0360B</v>
      </c>
      <c r="C67" s="22">
        <v>3</v>
      </c>
      <c r="D67" s="23">
        <v>7844</v>
      </c>
      <c r="E67" s="24">
        <v>4800</v>
      </c>
      <c r="F67" s="25" t="s">
        <v>16</v>
      </c>
      <c r="G67" s="50"/>
      <c r="H67" s="25">
        <f>E67*G67</f>
        <v>0</v>
      </c>
      <c r="I67" s="44"/>
      <c r="J67" s="44"/>
    </row>
    <row r="68" spans="2:10" ht="12" customHeight="1" outlineLevel="3">
      <c r="B68" s="18" t="s">
        <v>24</v>
      </c>
      <c r="C68" s="19"/>
      <c r="D68" s="20"/>
      <c r="E68" s="21"/>
      <c r="F68" s="21"/>
      <c r="G68" s="48"/>
      <c r="H68" s="21">
        <f>E68*G68</f>
        <v>0</v>
      </c>
      <c r="I68" s="43"/>
      <c r="J68" s="43"/>
    </row>
    <row r="69" spans="2:10" s="1" customFormat="1" ht="61.5" customHeight="1" outlineLevel="4">
      <c r="B69" s="49" t="str">
        <f>HYPERLINK("http://rusat.tv/ip-videokamera-3mp-ipc-gs7ep-3m0we","IP-видеокамера 3Мп IPC-GS7EP-3M0WE")</f>
        <v>IP-видеокамера 3Мп IPC-GS7EP-3M0WE</v>
      </c>
      <c r="C69" s="22">
        <v>2</v>
      </c>
      <c r="D69" s="23">
        <v>9433</v>
      </c>
      <c r="E69" s="24">
        <v>5900</v>
      </c>
      <c r="F69" s="25" t="s">
        <v>16</v>
      </c>
      <c r="G69" s="50"/>
      <c r="H69" s="25">
        <f>E69*G69</f>
        <v>0</v>
      </c>
      <c r="I69" s="44"/>
      <c r="J69" s="44"/>
    </row>
    <row r="70" spans="2:10" s="1" customFormat="1" ht="61.5" customHeight="1" outlineLevel="4">
      <c r="B70" s="49" t="str">
        <f>HYPERLINK("http://rusat.tv/ip-videokamera-8-mp-ipc-f88fip-v2-0280b","IP-видеокамера 8 Мп IPC-F88FIP-V2-0280B")</f>
        <v>IP-видеокамера 8 Мп IPC-F88FIP-V2-0280B</v>
      </c>
      <c r="C70" s="22">
        <v>1</v>
      </c>
      <c r="D70" s="23">
        <v>9434</v>
      </c>
      <c r="E70" s="24">
        <v>10500</v>
      </c>
      <c r="F70" s="25" t="s">
        <v>16</v>
      </c>
      <c r="G70" s="50"/>
      <c r="H70" s="25">
        <f>E70*G70</f>
        <v>0</v>
      </c>
      <c r="I70" s="44"/>
      <c r="J70" s="44"/>
    </row>
    <row r="71" spans="2:10" s="1" customFormat="1" ht="61.5" customHeight="1" outlineLevel="4">
      <c r="B71" s="49" t="str">
        <f>HYPERLINK("http://rusat.tv/ip-videokamera-ipc-c22ep-imou-2mp","IP-видеокамера IPC-C22EP-IMOU 2MP")</f>
        <v>IP-видеокамера IPC-C22EP-IMOU 2MP</v>
      </c>
      <c r="C71" s="22">
        <v>3</v>
      </c>
      <c r="D71" s="23">
        <v>5326</v>
      </c>
      <c r="E71" s="24">
        <v>2400</v>
      </c>
      <c r="F71" s="25" t="s">
        <v>16</v>
      </c>
      <c r="G71" s="50"/>
      <c r="H71" s="25">
        <f>E71*G71</f>
        <v>0</v>
      </c>
      <c r="I71" s="44"/>
      <c r="J71" s="44"/>
    </row>
    <row r="72" spans="2:10" s="1" customFormat="1" ht="61.5" customHeight="1" outlineLevel="4">
      <c r="B72" s="49" t="str">
        <f>HYPERLINK("http://rusat.tv/ip-videokamera-ipc-f22eap-0280b-imou","IP-видеокамера IPC-F22EAP-0280B-imou")</f>
        <v>IP-видеокамера IPC-F22EAP-0280B-imou</v>
      </c>
      <c r="C72" s="22">
        <v>2</v>
      </c>
      <c r="D72" s="23">
        <v>9471</v>
      </c>
      <c r="E72" s="24">
        <v>4800</v>
      </c>
      <c r="F72" s="25" t="s">
        <v>16</v>
      </c>
      <c r="G72" s="50"/>
      <c r="H72" s="25">
        <f>E72*G72</f>
        <v>0</v>
      </c>
      <c r="I72" s="44"/>
      <c r="J72" s="44"/>
    </row>
    <row r="73" spans="2:10" s="1" customFormat="1" ht="61.5" customHeight="1" outlineLevel="4">
      <c r="B73" s="49" t="str">
        <f>HYPERLINK("http://rusat.tv/ip-videokamera-ipc-f22fp-0280b-imou-2mp","IP-видеокамера IPC-F22FP-0280B-IMOU 2MP")</f>
        <v>IP-видеокамера IPC-F22FP-0280B-IMOU 2MP</v>
      </c>
      <c r="C73" s="22">
        <v>3</v>
      </c>
      <c r="D73" s="23">
        <v>5966</v>
      </c>
      <c r="E73" s="24">
        <v>4300</v>
      </c>
      <c r="F73" s="25" t="s">
        <v>16</v>
      </c>
      <c r="G73" s="50"/>
      <c r="H73" s="25">
        <f>E73*G73</f>
        <v>0</v>
      </c>
      <c r="I73" s="44"/>
      <c r="J73" s="44"/>
    </row>
    <row r="74" spans="2:10" s="1" customFormat="1" ht="61.5" customHeight="1" outlineLevel="4">
      <c r="B74" s="49" t="str">
        <f>HYPERLINK("http://rusat.tv/ip-videokamera-ipc-f22p-0280b-imou-2mp","IP-видеокамера IPC-F22P-0280B-IMOU 2MP")</f>
        <v>IP-видеокамера IPC-F22P-0280B-IMOU 2MP</v>
      </c>
      <c r="C74" s="22">
        <v>2</v>
      </c>
      <c r="D74" s="23">
        <v>5965</v>
      </c>
      <c r="E74" s="24">
        <v>2900</v>
      </c>
      <c r="F74" s="25" t="s">
        <v>16</v>
      </c>
      <c r="G74" s="50"/>
      <c r="H74" s="25">
        <f>E74*G74</f>
        <v>0</v>
      </c>
      <c r="I74" s="44"/>
      <c r="J74" s="44"/>
    </row>
    <row r="75" spans="2:10" s="1" customFormat="1" ht="61.5" customHeight="1" outlineLevel="4">
      <c r="B75" s="49" t="str">
        <f>HYPERLINK("http://rusat.tv/ip-videokamera-ipc-f42eap-0280b-imou","IP-видеокамера IPC-F42EAP-0280B-imou")</f>
        <v>IP-видеокамера IPC-F42EAP-0280B-imou</v>
      </c>
      <c r="C75" s="22">
        <v>1</v>
      </c>
      <c r="D75" s="23">
        <v>9472</v>
      </c>
      <c r="E75" s="24">
        <v>5250</v>
      </c>
      <c r="F75" s="25" t="s">
        <v>16</v>
      </c>
      <c r="G75" s="50"/>
      <c r="H75" s="25">
        <f>E75*G75</f>
        <v>0</v>
      </c>
      <c r="I75" s="44"/>
      <c r="J75" s="44"/>
    </row>
    <row r="76" spans="2:10" s="1" customFormat="1" ht="61.5" customHeight="1" outlineLevel="4">
      <c r="B76" s="49" t="str">
        <f>HYPERLINK("http://rusat.tv/ip-videokamera-ipc-f42fep-d-0280b-imou-2mp","IP-видеокамера IPC-F42FEP-0280B-IMOU 4MP")</f>
        <v>IP-видеокамера IPC-F42FEP-0280B-IMOU 4MP</v>
      </c>
      <c r="C76" s="22">
        <v>7</v>
      </c>
      <c r="D76" s="23">
        <v>6432</v>
      </c>
      <c r="E76" s="24">
        <v>5400</v>
      </c>
      <c r="F76" s="25" t="s">
        <v>16</v>
      </c>
      <c r="G76" s="50"/>
      <c r="H76" s="25">
        <f>E76*G76</f>
        <v>0</v>
      </c>
      <c r="I76" s="44"/>
      <c r="J76" s="44"/>
    </row>
    <row r="77" spans="2:10" s="1" customFormat="1" ht="61.5" customHeight="1" outlineLevel="4">
      <c r="B77" s="49" t="str">
        <f>HYPERLINK("http://rusat.tv/ip-videokamera-ipc-s22fp-d-0360b","IP-видеокамера IPC-S22FP-0360B")</f>
        <v>IP-видеокамера IPC-S22FP-0360B</v>
      </c>
      <c r="C77" s="22">
        <v>4</v>
      </c>
      <c r="D77" s="23">
        <v>6433</v>
      </c>
      <c r="E77" s="24">
        <v>5400</v>
      </c>
      <c r="F77" s="25" t="s">
        <v>16</v>
      </c>
      <c r="G77" s="50"/>
      <c r="H77" s="25">
        <f>E77*G77</f>
        <v>0</v>
      </c>
      <c r="I77" s="44"/>
      <c r="J77" s="44"/>
    </row>
    <row r="78" spans="2:10" s="1" customFormat="1" ht="61.5" customHeight="1" outlineLevel="4">
      <c r="B78" s="49" t="str">
        <f>HYPERLINK("http://rusat.tv/ip-videokamera-ipc-s42fp-d-0360b","IP-видеокамера IPC-S42FP-D-0360B")</f>
        <v>IP-видеокамера IPC-S42FP-D-0360B</v>
      </c>
      <c r="C78" s="22">
        <v>8</v>
      </c>
      <c r="D78" s="23">
        <v>6431</v>
      </c>
      <c r="E78" s="24">
        <v>7500</v>
      </c>
      <c r="F78" s="25" t="s">
        <v>16</v>
      </c>
      <c r="G78" s="50"/>
      <c r="H78" s="25">
        <f>E78*G78</f>
        <v>0</v>
      </c>
      <c r="I78" s="44"/>
      <c r="J78" s="44"/>
    </row>
    <row r="79" spans="2:10" s="1" customFormat="1" ht="61.5" customHeight="1" outlineLevel="4">
      <c r="B79" s="49" t="str">
        <f>HYPERLINK("http://rusat.tv/ip-videokamera-ipc-t26ep-0280b","IP-видеокамера IPC-T26EP-0280B")</f>
        <v>IP-видеокамера IPC-T26EP-0280B</v>
      </c>
      <c r="C79" s="22">
        <v>6</v>
      </c>
      <c r="D79" s="23">
        <v>6056</v>
      </c>
      <c r="E79" s="24">
        <v>4850</v>
      </c>
      <c r="F79" s="25" t="s">
        <v>16</v>
      </c>
      <c r="G79" s="50"/>
      <c r="H79" s="25">
        <f>E79*G79</f>
        <v>0</v>
      </c>
      <c r="I79" s="44"/>
      <c r="J79" s="44"/>
    </row>
    <row r="80" spans="2:10" s="1" customFormat="1" ht="61.5" customHeight="1" outlineLevel="4">
      <c r="B80" s="49" t="str">
        <f>HYPERLINK("http://rusat.tv/ip-videokamera-ipc-ta22cp-b","IP-видеокамера IPC-TA22CP-B")</f>
        <v>IP-видеокамера IPC-TA22CP-B</v>
      </c>
      <c r="C80" s="22">
        <v>2</v>
      </c>
      <c r="D80" s="23">
        <v>6057</v>
      </c>
      <c r="E80" s="24">
        <v>2000</v>
      </c>
      <c r="F80" s="25" t="s">
        <v>16</v>
      </c>
      <c r="G80" s="50"/>
      <c r="H80" s="25">
        <f>E80*G80</f>
        <v>0</v>
      </c>
      <c r="I80" s="44"/>
      <c r="J80" s="44"/>
    </row>
    <row r="81" spans="2:10" ht="12" customHeight="1" outlineLevel="3">
      <c r="B81" s="18" t="s">
        <v>25</v>
      </c>
      <c r="C81" s="19"/>
      <c r="D81" s="20"/>
      <c r="E81" s="21"/>
      <c r="F81" s="21"/>
      <c r="G81" s="48"/>
      <c r="H81" s="21">
        <f>E81*G81</f>
        <v>0</v>
      </c>
      <c r="I81" s="43"/>
      <c r="J81" s="43"/>
    </row>
    <row r="82" spans="2:10" s="1" customFormat="1" ht="61.5" customHeight="1" outlineLevel="4">
      <c r="B82" s="49" t="str">
        <f>HYPERLINK("http://rusat.tv/ip-videodomofon-dahua-dhi-vth5421hw-w","IP видеодомофон Dahua DHI-VTH5421HW-W")</f>
        <v>IP видеодомофон Dahua DHI-VTH5421HW-W</v>
      </c>
      <c r="C82" s="22">
        <v>1</v>
      </c>
      <c r="D82" s="23">
        <v>9480</v>
      </c>
      <c r="E82" s="24">
        <v>9200</v>
      </c>
      <c r="F82" s="25" t="s">
        <v>16</v>
      </c>
      <c r="G82" s="50"/>
      <c r="H82" s="25">
        <f>E82*G82</f>
        <v>0</v>
      </c>
      <c r="I82" s="44"/>
      <c r="J82" s="44"/>
    </row>
    <row r="83" spans="2:10" s="1" customFormat="1" ht="61.5" customHeight="1" outlineLevel="4">
      <c r="B83" s="49" t="str">
        <f>HYPERLINK("http://rusat.tv/ip-vyzyvnaya-panel-dahua-dhi-vto2211g-wp","IP вызывная панель Dahua DHI-VTO2211G-WP")</f>
        <v>IP вызывная панель Dahua DHI-VTO2211G-WP</v>
      </c>
      <c r="C83" s="22">
        <v>2</v>
      </c>
      <c r="D83" s="23">
        <v>5370</v>
      </c>
      <c r="E83" s="24">
        <v>8850</v>
      </c>
      <c r="F83" s="25" t="s">
        <v>16</v>
      </c>
      <c r="G83" s="50"/>
      <c r="H83" s="25">
        <f>E83*G83</f>
        <v>0</v>
      </c>
      <c r="I83" s="44"/>
      <c r="J83" s="44"/>
    </row>
    <row r="84" spans="2:10" s="1" customFormat="1" ht="61.5" customHeight="1" outlineLevel="4">
      <c r="B84" s="49" t="str">
        <f>HYPERLINK("http://rusat.tv/ip-vyzyvnaya-panel-dahua-dhi-vto2311r-wp-2","IP вызывная панель Dahua DHI-VTO2311R-WP")</f>
        <v>IP вызывная панель Dahua DHI-VTO2311R-WP</v>
      </c>
      <c r="C84" s="22">
        <v>2</v>
      </c>
      <c r="D84" s="23">
        <v>9580</v>
      </c>
      <c r="E84" s="24">
        <v>7900</v>
      </c>
      <c r="F84" s="25" t="s">
        <v>16</v>
      </c>
      <c r="G84" s="50"/>
      <c r="H84" s="25">
        <f>E84*G84</f>
        <v>0</v>
      </c>
      <c r="I84" s="44"/>
      <c r="J84" s="44"/>
    </row>
    <row r="85" spans="2:10" ht="12" customHeight="1" outlineLevel="2">
      <c r="B85" s="14" t="s">
        <v>26</v>
      </c>
      <c r="C85" s="15"/>
      <c r="D85" s="16"/>
      <c r="E85" s="17"/>
      <c r="F85" s="17"/>
      <c r="G85" s="47"/>
      <c r="H85" s="17">
        <f>E85*G85</f>
        <v>0</v>
      </c>
      <c r="I85" s="42"/>
      <c r="J85" s="42"/>
    </row>
    <row r="86" spans="2:10" s="1" customFormat="1" ht="61.5" customHeight="1" outlineLevel="3">
      <c r="B86" s="49" t="str">
        <f>HYPERLINK("http://rusat.tv/hd-tvi-videokamera-ds-t203s-28-mm-","HD-TVI видеокамера DS-T203S (2.8 mm)")</f>
        <v>HD-TVI видеокамера DS-T203S (2.8 mm)</v>
      </c>
      <c r="C86" s="22">
        <v>2</v>
      </c>
      <c r="D86" s="23">
        <v>9465</v>
      </c>
      <c r="E86" s="24">
        <v>2100</v>
      </c>
      <c r="F86" s="25" t="s">
        <v>16</v>
      </c>
      <c r="G86" s="50"/>
      <c r="H86" s="25">
        <f>E86*G86</f>
        <v>0</v>
      </c>
      <c r="I86" s="44"/>
      <c r="J86" s="44"/>
    </row>
    <row r="87" spans="2:10" s="1" customFormat="1" ht="61.5" customHeight="1" outlineLevel="3">
      <c r="B87" s="49" t="str">
        <f>HYPERLINK("http://rusat.tv/ip-videokamera-ds-i253l-b-4-mm-colorvu","IP-видеокамера DS-I253M(C)")</f>
        <v>IP-видеокамера DS-I253M(C)</v>
      </c>
      <c r="C87" s="22">
        <v>7</v>
      </c>
      <c r="D87" s="23">
        <v>7894</v>
      </c>
      <c r="E87" s="24">
        <v>5500</v>
      </c>
      <c r="F87" s="25" t="s">
        <v>16</v>
      </c>
      <c r="G87" s="50"/>
      <c r="H87" s="25">
        <f>E87*G87</f>
        <v>0</v>
      </c>
      <c r="I87" s="44"/>
      <c r="J87" s="44"/>
    </row>
    <row r="88" spans="2:10" s="1" customFormat="1" ht="61.5" customHeight="1" outlineLevel="3">
      <c r="B88" s="49" t="str">
        <f>HYPERLINK("http://rusat.tv/ip-videokamera-ds-ipc-b020-28mm-","IP-видеокамера DS-IPC-B020 (2.8mm)")</f>
        <v>IP-видеокамера DS-IPC-B020 (2.8mm)</v>
      </c>
      <c r="C88" s="22">
        <v>4</v>
      </c>
      <c r="D88" s="23">
        <v>7125</v>
      </c>
      <c r="E88" s="24">
        <v>2500</v>
      </c>
      <c r="F88" s="25" t="s">
        <v>16</v>
      </c>
      <c r="G88" s="50"/>
      <c r="H88" s="25">
        <f>E88*G88</f>
        <v>0</v>
      </c>
      <c r="I88" s="44"/>
      <c r="J88" s="44"/>
    </row>
    <row r="89" spans="2:10" s="1" customFormat="1" ht="61.5" customHeight="1" outlineLevel="3">
      <c r="B89" s="49" t="str">
        <f>HYPERLINK("http://rusat.tv/ds-h216qa-2","IP-видеорегистратор DS-N316/2(D)")</f>
        <v>IP-видеорегистратор DS-N316/2(D)</v>
      </c>
      <c r="C89" s="22">
        <v>1</v>
      </c>
      <c r="D89" s="23">
        <v>7798</v>
      </c>
      <c r="E89" s="24">
        <v>10500</v>
      </c>
      <c r="F89" s="25" t="s">
        <v>16</v>
      </c>
      <c r="G89" s="50"/>
      <c r="H89" s="25">
        <f>E89*G89</f>
        <v>0</v>
      </c>
      <c r="I89" s="44"/>
      <c r="J89" s="44"/>
    </row>
    <row r="90" spans="2:10" s="1" customFormat="1" ht="61.5" customHeight="1" outlineLevel="3">
      <c r="B90" s="49" t="str">
        <f>HYPERLINK("http://rusat.tv/videoregistrator-hd-tvi-ds-dvr-104p-g","Видеорегистратор HD-TVI DS-DVR-104P-G")</f>
        <v>Видеорегистратор HD-TVI DS-DVR-104P-G</v>
      </c>
      <c r="C90" s="22">
        <v>4</v>
      </c>
      <c r="D90" s="23">
        <v>7121</v>
      </c>
      <c r="E90" s="24">
        <v>3600</v>
      </c>
      <c r="F90" s="25" t="s">
        <v>16</v>
      </c>
      <c r="G90" s="50"/>
      <c r="H90" s="25">
        <f>E90*G90</f>
        <v>0</v>
      </c>
      <c r="I90" s="44"/>
      <c r="J90" s="44"/>
    </row>
    <row r="91" spans="2:10" s="1" customFormat="1" ht="61.5" customHeight="1" outlineLevel="3">
      <c r="B91" s="49" t="str">
        <f>HYPERLINK("http://rusat.tv/videoregistrator-hd-tvi-ds-dvr-108p-g-n","Видеорегистратор HD-TVI DS-DVR-108P-G/N")</f>
        <v>Видеорегистратор HD-TVI DS-DVR-108P-G/N</v>
      </c>
      <c r="C91" s="22">
        <v>1</v>
      </c>
      <c r="D91" s="23">
        <v>7120</v>
      </c>
      <c r="E91" s="24">
        <v>4500</v>
      </c>
      <c r="F91" s="25" t="s">
        <v>16</v>
      </c>
      <c r="G91" s="50"/>
      <c r="H91" s="25">
        <f>E91*G91</f>
        <v>0</v>
      </c>
      <c r="I91" s="44"/>
      <c r="J91" s="44"/>
    </row>
    <row r="92" spans="2:10" s="1" customFormat="1" ht="61.5" customHeight="1" outlineLevel="3">
      <c r="B92" s="49" t="str">
        <f>HYPERLINK("http://rusat.tv/komplekt-analogovogo-videodomofona-ds-d100k","Комплект аналогового видеодомофона DS-D100K")</f>
        <v>Комплект аналогового видеодомофона DS-D100K</v>
      </c>
      <c r="C92" s="22">
        <v>1</v>
      </c>
      <c r="D92" s="23">
        <v>7116</v>
      </c>
      <c r="E92" s="24">
        <v>7250</v>
      </c>
      <c r="F92" s="25" t="s">
        <v>16</v>
      </c>
      <c r="G92" s="50"/>
      <c r="H92" s="25">
        <f>E92*G92</f>
        <v>0</v>
      </c>
      <c r="I92" s="44"/>
      <c r="J92" s="44"/>
    </row>
    <row r="93" spans="2:10" s="1" customFormat="1" ht="61.5" customHeight="1" outlineLevel="3">
      <c r="B93" s="49" t="str">
        <f>HYPERLINK("http://rusat.tv/komplekt-analogovogo-videodomofona-ds-d100kf","Комплект аналогового видеодомофона DS-D100KF")</f>
        <v>Комплект аналогового видеодомофона DS-D100KF</v>
      </c>
      <c r="C93" s="22">
        <v>2</v>
      </c>
      <c r="D93" s="23">
        <v>7117</v>
      </c>
      <c r="E93" s="24">
        <v>8500</v>
      </c>
      <c r="F93" s="25" t="s">
        <v>16</v>
      </c>
      <c r="G93" s="50"/>
      <c r="H93" s="25">
        <f>E93*G93</f>
        <v>0</v>
      </c>
      <c r="I93" s="44"/>
      <c r="J93" s="44"/>
    </row>
    <row r="94" spans="2:10" ht="12" customHeight="1" outlineLevel="2">
      <c r="B94" s="14" t="s">
        <v>27</v>
      </c>
      <c r="C94" s="15"/>
      <c r="D94" s="16"/>
      <c r="E94" s="17"/>
      <c r="F94" s="17"/>
      <c r="G94" s="47"/>
      <c r="H94" s="17">
        <f>E94*G94</f>
        <v>0</v>
      </c>
      <c r="I94" s="42"/>
      <c r="J94" s="42"/>
    </row>
    <row r="95" spans="2:10" s="1" customFormat="1" ht="61.5" customHeight="1" outlineLevel="3">
      <c r="B95" s="49" t="str">
        <f>HYPERLINK("http://rusat.tv/toshiba-1tb-mq01abd050v-zhestkiy-disk-dlya-videoregistratorov","Жесткий диск WD Purple 1Tb")</f>
        <v>Жесткий диск WD Purple 1Tb</v>
      </c>
      <c r="C95" s="22">
        <v>6</v>
      </c>
      <c r="D95" s="23">
        <v>4072</v>
      </c>
      <c r="E95" s="24">
        <v>5400</v>
      </c>
      <c r="F95" s="25" t="s">
        <v>16</v>
      </c>
      <c r="G95" s="50"/>
      <c r="H95" s="25">
        <f>E95*G95</f>
        <v>0</v>
      </c>
      <c r="I95" s="44"/>
      <c r="J95" s="44"/>
    </row>
    <row r="96" spans="2:10" s="1" customFormat="1" ht="61.5" customHeight="1" outlineLevel="3">
      <c r="B96" s="49" t="str">
        <f>HYPERLINK("http://rusat.tv/-zhestkiy-disk-wd-purple-2tb","Жесткий диск WD Purple 2Tb")</f>
        <v>Жесткий диск WD Purple 2Tb</v>
      </c>
      <c r="C96" s="22">
        <v>3</v>
      </c>
      <c r="D96" s="23">
        <v>7755</v>
      </c>
      <c r="E96" s="24">
        <v>6900</v>
      </c>
      <c r="F96" s="25" t="s">
        <v>16</v>
      </c>
      <c r="G96" s="50"/>
      <c r="H96" s="25">
        <f>E96*G96</f>
        <v>0</v>
      </c>
      <c r="I96" s="44"/>
      <c r="J96" s="44"/>
    </row>
    <row r="97" spans="2:10" s="1" customFormat="1" ht="61.5" customHeight="1" outlineLevel="3">
      <c r="B97" s="49" t="str">
        <f>HYPERLINK("http://rusat.tv/-zhestkiy-disk-wd-purple-3tb","Жесткий диск WD Purple 3Tb")</f>
        <v>Жесткий диск WD Purple 3Tb</v>
      </c>
      <c r="C97" s="22">
        <v>1</v>
      </c>
      <c r="D97" s="23">
        <v>7756</v>
      </c>
      <c r="E97" s="24">
        <v>7500</v>
      </c>
      <c r="F97" s="25" t="s">
        <v>16</v>
      </c>
      <c r="G97" s="50"/>
      <c r="H97" s="25">
        <f>E97*G97</f>
        <v>0</v>
      </c>
      <c r="I97" s="44"/>
      <c r="J97" s="44"/>
    </row>
    <row r="98" spans="2:10" s="1" customFormat="1" ht="61.5" customHeight="1" outlineLevel="3">
      <c r="B98" s="49" t="str">
        <f>HYPERLINK("http://rusat.tv/-zhestkiy-disk-wd-purple-4tb","Жесткий диск WD Purple 4Tb")</f>
        <v>Жесткий диск WD Purple 4Tb</v>
      </c>
      <c r="C98" s="22">
        <v>3</v>
      </c>
      <c r="D98" s="23">
        <v>8349</v>
      </c>
      <c r="E98" s="24">
        <v>9700</v>
      </c>
      <c r="F98" s="25" t="s">
        <v>16</v>
      </c>
      <c r="G98" s="50"/>
      <c r="H98" s="25">
        <f>E98*G98</f>
        <v>0</v>
      </c>
      <c r="I98" s="44"/>
      <c r="J98" s="44"/>
    </row>
    <row r="99" spans="2:10" s="1" customFormat="1" ht="61.5" customHeight="1" outlineLevel="3">
      <c r="B99" s="49" t="str">
        <f>HYPERLINK("http://rusat.tv/st1000vx005-1tb-zhestkiy-disk-dlya-videoregistratorov","ST1000VX001 1ТБ Жесткий диск для настольного SkyHawk Guardian Surveillance (3.5`/1TB/SATA 6G")</f>
        <v>ST1000VX001 1ТБ Жесткий диск для настольного SkyHawk Guardian Surveillance (3.5`/1TB/SATA 6G</v>
      </c>
      <c r="C99" s="22">
        <v>1</v>
      </c>
      <c r="D99" s="23">
        <v>1658</v>
      </c>
      <c r="E99" s="24">
        <v>5700</v>
      </c>
      <c r="F99" s="25" t="s">
        <v>16</v>
      </c>
      <c r="G99" s="50"/>
      <c r="H99" s="25">
        <f>E99*G99</f>
        <v>0</v>
      </c>
      <c r="I99" s="44"/>
      <c r="J99" s="44"/>
    </row>
    <row r="100" spans="2:10" ht="12" customHeight="1" outlineLevel="2">
      <c r="B100" s="14" t="s">
        <v>28</v>
      </c>
      <c r="C100" s="15"/>
      <c r="D100" s="16"/>
      <c r="E100" s="17"/>
      <c r="F100" s="17"/>
      <c r="G100" s="47"/>
      <c r="H100" s="17">
        <f>E100*G100</f>
        <v>0</v>
      </c>
      <c r="I100" s="42"/>
      <c r="J100" s="42"/>
    </row>
    <row r="101" spans="2:10" ht="12" customHeight="1" outlineLevel="3">
      <c r="B101" s="18" t="s">
        <v>29</v>
      </c>
      <c r="C101" s="19"/>
      <c r="D101" s="20"/>
      <c r="E101" s="21"/>
      <c r="F101" s="21"/>
      <c r="G101" s="48"/>
      <c r="H101" s="21">
        <f>E101*G101</f>
        <v>0</v>
      </c>
      <c r="I101" s="43"/>
      <c r="J101" s="43"/>
    </row>
    <row r="102" spans="2:10" s="1" customFormat="1" ht="61.5" customHeight="1" outlineLevel="4">
      <c r="B102" s="49" t="str">
        <f>HYPERLINK("http://rusat.tv/poe-splitter-hi-p01","Poe splitter AT-A-PS1")</f>
        <v>Poe splitter AT-A-PS1</v>
      </c>
      <c r="C102" s="22">
        <v>2</v>
      </c>
      <c r="D102" s="23">
        <v>6414</v>
      </c>
      <c r="E102" s="26">
        <v>350</v>
      </c>
      <c r="F102" s="25" t="s">
        <v>16</v>
      </c>
      <c r="G102" s="50"/>
      <c r="H102" s="25">
        <f>E102*G102</f>
        <v>0</v>
      </c>
      <c r="I102" s="44"/>
      <c r="J102" s="44"/>
    </row>
    <row r="103" spans="2:10" s="1" customFormat="1" ht="61.5" customHeight="1" outlineLevel="4">
      <c r="B103" s="49" t="str">
        <f>HYPERLINK("http://rusat.tv/poe-inzhektor","Poe инжектор PoE-IN")</f>
        <v>Poe инжектор PoE-IN</v>
      </c>
      <c r="C103" s="22">
        <v>3</v>
      </c>
      <c r="D103" s="23">
        <v>4108</v>
      </c>
      <c r="E103" s="26">
        <v>700</v>
      </c>
      <c r="F103" s="25" t="s">
        <v>16</v>
      </c>
      <c r="G103" s="50"/>
      <c r="H103" s="25">
        <f>E103*G103</f>
        <v>0</v>
      </c>
      <c r="I103" s="44"/>
      <c r="J103" s="44"/>
    </row>
    <row r="104" spans="2:10" s="1" customFormat="1" ht="61.5" customHeight="1" outlineLevel="4">
      <c r="B104" s="49" t="str">
        <f>HYPERLINK("http://rusat.tv/kommutator-5port-10-100m-st3105s-netis-","Коммутатор 5PORT 10/100M ST3105S NETIS")</f>
        <v>Коммутатор 5PORT 10/100M ST3105S NETIS</v>
      </c>
      <c r="C104" s="22">
        <v>1</v>
      </c>
      <c r="D104" s="23">
        <v>5123</v>
      </c>
      <c r="E104" s="26">
        <v>300</v>
      </c>
      <c r="F104" s="25" t="s">
        <v>16</v>
      </c>
      <c r="G104" s="50"/>
      <c r="H104" s="25">
        <f>E104*G104</f>
        <v>0</v>
      </c>
      <c r="I104" s="44"/>
      <c r="J104" s="44"/>
    </row>
    <row r="105" spans="2:10" s="1" customFormat="1" ht="61.5" customHeight="1" outlineLevel="4">
      <c r="B105" s="49" t="str">
        <f>HYPERLINK("http://rusat.tv/kommutator-atis-poe-1018-16p","Коммутатор Atis PoE-1018-16P")</f>
        <v>Коммутатор Atis PoE-1018-16P</v>
      </c>
      <c r="C105" s="22">
        <v>1</v>
      </c>
      <c r="D105" s="23">
        <v>3938</v>
      </c>
      <c r="E105" s="24">
        <v>7500</v>
      </c>
      <c r="F105" s="25" t="s">
        <v>16</v>
      </c>
      <c r="G105" s="50"/>
      <c r="H105" s="25">
        <f>E105*G105</f>
        <v>0</v>
      </c>
      <c r="I105" s="44"/>
      <c r="J105" s="44"/>
    </row>
    <row r="106" spans="2:10" ht="12" customHeight="1" outlineLevel="2">
      <c r="B106" s="14" t="s">
        <v>30</v>
      </c>
      <c r="C106" s="15"/>
      <c r="D106" s="16"/>
      <c r="E106" s="17"/>
      <c r="F106" s="17"/>
      <c r="G106" s="47"/>
      <c r="H106" s="17">
        <f>E106*G106</f>
        <v>0</v>
      </c>
      <c r="I106" s="42"/>
      <c r="J106" s="42"/>
    </row>
    <row r="107" spans="2:10" s="1" customFormat="1" ht="61.5" customHeight="1" outlineLevel="3">
      <c r="B107" s="49" t="str">
        <f>HYPERLINK("http://rusat.tv/vyzyvnaya-panel-ipanel-2-metal-hd","Вызывная панель TANTOS iPanel 2 HD")</f>
        <v>Вызывная панель TANTOS iPanel 2 HD</v>
      </c>
      <c r="C107" s="22">
        <v>5</v>
      </c>
      <c r="D107" s="23">
        <v>6717</v>
      </c>
      <c r="E107" s="24">
        <v>4000</v>
      </c>
      <c r="F107" s="25" t="s">
        <v>16</v>
      </c>
      <c r="G107" s="50"/>
      <c r="H107" s="25">
        <f>E107*G107</f>
        <v>0</v>
      </c>
      <c r="I107" s="44"/>
      <c r="J107" s="44"/>
    </row>
    <row r="108" spans="2:10" s="1" customFormat="1" ht="61.5" customHeight="1" outlineLevel="3">
      <c r="B108" s="49" t="str">
        <f>HYPERLINK("http://rusat.tv/vyzyvnaya-panel-tantos-ipanel-2-wg-black-em-hd","Вызывная панель TANTOS iPanel 2 WG (Black) EM HD")</f>
        <v>Вызывная панель TANTOS iPanel 2 WG (Black) EM HD</v>
      </c>
      <c r="C108" s="22">
        <v>1</v>
      </c>
      <c r="D108" s="23">
        <v>7761</v>
      </c>
      <c r="E108" s="24">
        <v>6300</v>
      </c>
      <c r="F108" s="25" t="s">
        <v>16</v>
      </c>
      <c r="G108" s="50"/>
      <c r="H108" s="25">
        <f>E108*G108</f>
        <v>0</v>
      </c>
      <c r="I108" s="44"/>
      <c r="J108" s="44"/>
    </row>
    <row r="109" spans="2:10" s="1" customFormat="1" ht="61.5" customHeight="1" outlineLevel="3">
      <c r="B109" s="49" t="str">
        <f>HYPERLINK("http://rusat.tv/vyzyvnaya-panel-tantos-stich-chernaya-","Вызывная панель TANTOS Stich HD")</f>
        <v>Вызывная панель TANTOS Stich HD</v>
      </c>
      <c r="C109" s="22">
        <v>1</v>
      </c>
      <c r="D109" s="23">
        <v>6718</v>
      </c>
      <c r="E109" s="24">
        <v>2900</v>
      </c>
      <c r="F109" s="25" t="s">
        <v>16</v>
      </c>
      <c r="G109" s="50"/>
      <c r="H109" s="25">
        <f>E109*G109</f>
        <v>0</v>
      </c>
      <c r="I109" s="44"/>
      <c r="J109" s="44"/>
    </row>
    <row r="110" spans="2:10" s="1" customFormat="1" ht="61.5" customHeight="1" outlineLevel="3">
      <c r="B110" s="49" t="str">
        <f>HYPERLINK("http://rusat.tv/monitor-tantos-amelie-hd-se","Монитор TANTOS Amelie HD SE")</f>
        <v>Монитор TANTOS Amelie HD SE</v>
      </c>
      <c r="C110" s="22">
        <v>3</v>
      </c>
      <c r="D110" s="23">
        <v>8462</v>
      </c>
      <c r="E110" s="24">
        <v>6200</v>
      </c>
      <c r="F110" s="25" t="s">
        <v>16</v>
      </c>
      <c r="G110" s="50"/>
      <c r="H110" s="25">
        <f>E110*G110</f>
        <v>0</v>
      </c>
      <c r="I110" s="44"/>
      <c r="J110" s="44"/>
    </row>
    <row r="111" spans="2:10" s="1" customFormat="1" ht="61.5" customHeight="1" outlineLevel="3">
      <c r="B111" s="49" t="str">
        <f>HYPERLINK("http://rusat.tv/monitor-tantos-amelie-slim-hd-se","Монитор TANTOS Amelie Slim HD SE")</f>
        <v>Монитор TANTOS Amelie Slim HD SE</v>
      </c>
      <c r="C111" s="22">
        <v>1</v>
      </c>
      <c r="D111" s="23">
        <v>9122</v>
      </c>
      <c r="E111" s="24">
        <v>6000</v>
      </c>
      <c r="F111" s="25" t="s">
        <v>16</v>
      </c>
      <c r="G111" s="50"/>
      <c r="H111" s="25">
        <f>E111*G111</f>
        <v>0</v>
      </c>
      <c r="I111" s="44"/>
      <c r="J111" s="44"/>
    </row>
    <row r="112" spans="2:10" s="1" customFormat="1" ht="61.5" customHeight="1" outlineLevel="3">
      <c r="B112" s="49" t="str">
        <f>HYPERLINK("http://rusat.tv/monitor-tantos-rocky-hd-wi-fi","Монитор TANTOS Rocky HD Wi-Fi")</f>
        <v>Монитор TANTOS Rocky HD Wi-Fi</v>
      </c>
      <c r="C112" s="22">
        <v>3</v>
      </c>
      <c r="D112" s="23">
        <v>6652</v>
      </c>
      <c r="E112" s="24">
        <v>14600</v>
      </c>
      <c r="F112" s="25" t="s">
        <v>16</v>
      </c>
      <c r="G112" s="50"/>
      <c r="H112" s="25">
        <f>E112*G112</f>
        <v>0</v>
      </c>
      <c r="I112" s="44"/>
      <c r="J112" s="44"/>
    </row>
    <row r="113" spans="2:10" ht="12" customHeight="1" outlineLevel="2">
      <c r="B113" s="14" t="s">
        <v>31</v>
      </c>
      <c r="C113" s="15"/>
      <c r="D113" s="16"/>
      <c r="E113" s="17"/>
      <c r="F113" s="17"/>
      <c r="G113" s="47"/>
      <c r="H113" s="17">
        <f>E113*G113</f>
        <v>0</v>
      </c>
      <c r="I113" s="42"/>
      <c r="J113" s="42"/>
    </row>
    <row r="114" spans="2:10" s="1" customFormat="1" ht="61.5" customHeight="1" outlineLevel="3">
      <c r="B114" s="49" t="str">
        <f>HYPERLINK("http://rusat.tv/vyzyvnaya-panel-ctv-d10ng","Вызывная панель CTV-D10 Plus")</f>
        <v>Вызывная панель CTV-D10 Plus</v>
      </c>
      <c r="C114" s="22">
        <v>1</v>
      </c>
      <c r="D114" s="23">
        <v>3534</v>
      </c>
      <c r="E114" s="24">
        <v>2500</v>
      </c>
      <c r="F114" s="25" t="s">
        <v>16</v>
      </c>
      <c r="G114" s="50"/>
      <c r="H114" s="25">
        <f>E114*G114</f>
        <v>0</v>
      </c>
      <c r="I114" s="44"/>
      <c r="J114" s="44"/>
    </row>
    <row r="115" spans="2:10" s="1" customFormat="1" ht="61.5" customHeight="1" outlineLevel="3">
      <c r="B115" s="49" t="str">
        <f>HYPERLINK("http://rusat.tv/vyzyvnaya-panel-ctv-d4003ahd","Вызывная панель CTV-D4003NG")</f>
        <v>Вызывная панель CTV-D4003NG</v>
      </c>
      <c r="C115" s="22">
        <v>1</v>
      </c>
      <c r="D115" s="23">
        <v>4145</v>
      </c>
      <c r="E115" s="24">
        <v>4700</v>
      </c>
      <c r="F115" s="25" t="s">
        <v>16</v>
      </c>
      <c r="G115" s="50"/>
      <c r="H115" s="25">
        <f>E115*G115</f>
        <v>0</v>
      </c>
      <c r="I115" s="44"/>
      <c r="J115" s="44"/>
    </row>
    <row r="116" spans="2:10" s="1" customFormat="1" ht="61.5" customHeight="1" outlineLevel="3">
      <c r="B116" s="49" t="str">
        <f>HYPERLINK("http://rusat.tv/komplekt-ctv-dp5000ip","Комплект CTV-DP5000IP")</f>
        <v>Комплект CTV-DP5000IP</v>
      </c>
      <c r="C116" s="22">
        <v>1</v>
      </c>
      <c r="D116" s="23">
        <v>4393</v>
      </c>
      <c r="E116" s="24">
        <v>4500</v>
      </c>
      <c r="F116" s="25" t="s">
        <v>16</v>
      </c>
      <c r="G116" s="50"/>
      <c r="H116" s="25">
        <f>E116*G116</f>
        <v>0</v>
      </c>
      <c r="I116" s="44"/>
      <c r="J116" s="44"/>
    </row>
    <row r="117" spans="2:10" s="1" customFormat="1" ht="61.5" customHeight="1" outlineLevel="3">
      <c r="B117" s="49" t="str">
        <f>HYPERLINK("http://rusat.tv/monitor-ctv-im-cloud-10-","Монитор CTV-iM1030W Cloud 10")</f>
        <v>Монитор CTV-iM1030W Cloud 10</v>
      </c>
      <c r="C117" s="22">
        <v>1</v>
      </c>
      <c r="D117" s="23">
        <v>6533</v>
      </c>
      <c r="E117" s="24">
        <v>15800</v>
      </c>
      <c r="F117" s="25" t="s">
        <v>16</v>
      </c>
      <c r="G117" s="50"/>
      <c r="H117" s="25">
        <f>E117*G117</f>
        <v>0</v>
      </c>
      <c r="I117" s="44"/>
      <c r="J117" s="44"/>
    </row>
    <row r="118" spans="2:10" s="1" customFormat="1" ht="61.5" customHeight="1" outlineLevel="3">
      <c r="B118" s="49" t="str">
        <f>HYPERLINK("http://rusat.tv/monitor-ctv-m1701md","Монитор CTV-M1701S")</f>
        <v>Монитор CTV-M1701S</v>
      </c>
      <c r="C118" s="22">
        <v>2</v>
      </c>
      <c r="D118" s="23">
        <v>3530</v>
      </c>
      <c r="E118" s="24">
        <v>5700</v>
      </c>
      <c r="F118" s="25" t="s">
        <v>16</v>
      </c>
      <c r="G118" s="50"/>
      <c r="H118" s="25">
        <f>E118*G118</f>
        <v>0</v>
      </c>
      <c r="I118" s="44"/>
      <c r="J118" s="44"/>
    </row>
    <row r="119" spans="2:10" s="1" customFormat="1" ht="61.5" customHeight="1" outlineLevel="3">
      <c r="B119" s="49" t="str">
        <f>HYPERLINK("http://rusat.tv/monitor-ctv-m400","Монитор CTV-M400")</f>
        <v>Монитор CTV-M400</v>
      </c>
      <c r="C119" s="22">
        <v>5</v>
      </c>
      <c r="D119" s="23">
        <v>3543</v>
      </c>
      <c r="E119" s="24">
        <v>3500</v>
      </c>
      <c r="F119" s="25" t="s">
        <v>16</v>
      </c>
      <c r="G119" s="50"/>
      <c r="H119" s="25">
        <f>E119*G119</f>
        <v>0</v>
      </c>
      <c r="I119" s="44"/>
      <c r="J119" s="44"/>
    </row>
    <row r="120" spans="2:10" ht="12" customHeight="1" outlineLevel="2">
      <c r="B120" s="14" t="s">
        <v>32</v>
      </c>
      <c r="C120" s="15"/>
      <c r="D120" s="16"/>
      <c r="E120" s="17"/>
      <c r="F120" s="17"/>
      <c r="G120" s="47"/>
      <c r="H120" s="17">
        <f>E120*G120</f>
        <v>0</v>
      </c>
      <c r="I120" s="42"/>
      <c r="J120" s="42"/>
    </row>
    <row r="121" spans="2:10" s="1" customFormat="1" ht="61.5" customHeight="1" outlineLevel="3">
      <c r="B121" s="49" t="str">
        <f>HYPERLINK("http://rusat.tv/akkumulyator-ab7-12l-7-ach-20","Аккумулятор AB7-12L 7 Ач/20")</f>
        <v>Аккумулятор AB7-12L 7 Ач/20</v>
      </c>
      <c r="C121" s="22">
        <v>5</v>
      </c>
      <c r="D121" s="23">
        <v>3143</v>
      </c>
      <c r="E121" s="26">
        <v>850</v>
      </c>
      <c r="F121" s="25" t="s">
        <v>16</v>
      </c>
      <c r="G121" s="50"/>
      <c r="H121" s="25">
        <f>E121*G121</f>
        <v>0</v>
      </c>
      <c r="I121" s="44"/>
      <c r="J121" s="44"/>
    </row>
    <row r="122" spans="2:10" s="1" customFormat="1" ht="61.5" customHeight="1" outlineLevel="3">
      <c r="B122" s="49" t="str">
        <f>HYPERLINK("http://rusat.tv/bbp-50-pro","ББП-50 TS")</f>
        <v>ББП-50 TS</v>
      </c>
      <c r="C122" s="22">
        <v>2</v>
      </c>
      <c r="D122" s="23">
        <v>7811</v>
      </c>
      <c r="E122" s="24">
        <v>1750</v>
      </c>
      <c r="F122" s="25" t="s">
        <v>16</v>
      </c>
      <c r="G122" s="50"/>
      <c r="H122" s="25">
        <f>E122*G122</f>
        <v>0</v>
      </c>
      <c r="I122" s="44"/>
      <c r="J122" s="44"/>
    </row>
    <row r="123" spans="2:10" s="1" customFormat="1" ht="61.5" customHeight="1" outlineLevel="3">
      <c r="B123" s="49" t="str">
        <f>HYPERLINK("http://rusat.tv/bbp-30","ИВЭП-1220G блок питания уличный")</f>
        <v>ИВЭП-1220G блок питания уличный</v>
      </c>
      <c r="C123" s="22">
        <v>4</v>
      </c>
      <c r="D123" s="23">
        <v>1160</v>
      </c>
      <c r="E123" s="26">
        <v>500</v>
      </c>
      <c r="F123" s="25" t="s">
        <v>16</v>
      </c>
      <c r="G123" s="50"/>
      <c r="H123" s="25">
        <f>E123*G123</f>
        <v>0</v>
      </c>
      <c r="I123" s="44"/>
      <c r="J123" s="44"/>
    </row>
    <row r="124" spans="2:10" ht="12" customHeight="1" outlineLevel="2">
      <c r="B124" s="14" t="s">
        <v>33</v>
      </c>
      <c r="C124" s="15"/>
      <c r="D124" s="16"/>
      <c r="E124" s="17"/>
      <c r="F124" s="17"/>
      <c r="G124" s="47"/>
      <c r="H124" s="17">
        <f>E124*G124</f>
        <v>0</v>
      </c>
      <c r="I124" s="42"/>
      <c r="J124" s="42"/>
    </row>
    <row r="125" spans="2:10" s="1" customFormat="1" ht="61.5" customHeight="1" outlineLevel="3">
      <c r="B125" s="49" t="str">
        <f>HYPERLINK("http://rusat.tv/kabel-shvev-3kh0-22-belyy","Кабель ШВЭВ 3х0,22 белый")</f>
        <v>Кабель ШВЭВ 3х0,22 белый</v>
      </c>
      <c r="C125" s="22">
        <v>600</v>
      </c>
      <c r="D125" s="23">
        <v>5689</v>
      </c>
      <c r="E125" s="26">
        <v>12</v>
      </c>
      <c r="F125" s="25" t="s">
        <v>34</v>
      </c>
      <c r="G125" s="50"/>
      <c r="H125" s="25">
        <f>E125*G125</f>
        <v>0</v>
      </c>
      <c r="I125" s="44"/>
      <c r="J125" s="44"/>
    </row>
    <row r="126" spans="2:10" s="1" customFormat="1" ht="61.5" customHeight="1" outlineLevel="3">
      <c r="B126" s="49" t="str">
        <f>HYPERLINK("http://rusat.tv/koaksialnyy-kabel-kvk-belogo-cveta-2-zhily-pitaniya-0-5-mm-ekranirovannyy-kvk-p-2kh0-5-e-","Коаксиальный кабель КВК белого цвета 2 жилы питания 0,5 мм экранированный (КВК-В-2х0,5 Э)")</f>
        <v>Коаксиальный кабель КВК белого цвета 2 жилы питания 0,5 мм экранированный (КВК-В-2х0,5 Э)</v>
      </c>
      <c r="C126" s="22">
        <v>100</v>
      </c>
      <c r="D126" s="23">
        <v>4902</v>
      </c>
      <c r="E126" s="26">
        <v>17.5</v>
      </c>
      <c r="F126" s="25" t="s">
        <v>34</v>
      </c>
      <c r="G126" s="50"/>
      <c r="H126" s="25">
        <f>E126*G126</f>
        <v>0</v>
      </c>
      <c r="I126" s="44"/>
      <c r="J126" s="44"/>
    </row>
    <row r="127" spans="2:10" s="1" customFormat="1" ht="61.5" customHeight="1" outlineLevel="3">
      <c r="B127" s="49" t="str">
        <f>HYPERLINK("http://rusat.tv/koaksialnyy-kabel-kvk-chernogo-cveta-2-zhily-pitaniya-0-5-mm-ekranirovannyy-kvk-p-2kh0-5-e-","Коаксиальный кабель КВК черного цвета 2 жилы питания 0,5 мм экранированный (КВК-П-2х0,5 Э)")</f>
        <v>Коаксиальный кабель КВК черного цвета 2 жилы питания 0,5 мм экранированный (КВК-П-2х0,5 Э)</v>
      </c>
      <c r="C127" s="31">
        <v>1424</v>
      </c>
      <c r="D127" s="23">
        <v>4901</v>
      </c>
      <c r="E127" s="26">
        <v>17.5</v>
      </c>
      <c r="F127" s="25" t="s">
        <v>34</v>
      </c>
      <c r="G127" s="50"/>
      <c r="H127" s="25">
        <f>E127*G127</f>
        <v>0</v>
      </c>
      <c r="I127" s="44"/>
      <c r="J127" s="44"/>
    </row>
    <row r="128" spans="2:10" s="1" customFormat="1" ht="61.5" customHeight="1" outlineLevel="3">
      <c r="B128" s="49" t="str">
        <f>HYPERLINK("http://rusat.tv/koaksialnyy-kabel-kvk-chernogo-cveta-2-zhily-pitaniya-0-75-mm-kvk-p-2kh0-75-","Коаксиальный кабель КВК черного цвета 2 жилы питания, 0,75 мм (КВК-П-2х0,75)")</f>
        <v>Коаксиальный кабель КВК черного цвета 2 жилы питания, 0,75 мм (КВК-П-2х0,75)</v>
      </c>
      <c r="C128" s="22">
        <v>303</v>
      </c>
      <c r="D128" s="23">
        <v>4899</v>
      </c>
      <c r="E128" s="26">
        <v>21.5</v>
      </c>
      <c r="F128" s="25" t="s">
        <v>34</v>
      </c>
      <c r="G128" s="50"/>
      <c r="H128" s="25">
        <f>E128*G128</f>
        <v>0</v>
      </c>
      <c r="I128" s="44"/>
      <c r="J128" s="44"/>
    </row>
    <row r="129" spans="2:10" s="1" customFormat="1" ht="61.5" customHeight="1" outlineLevel="3">
      <c r="B129" s="49" t="str">
        <f>HYPERLINK("http://rusat.tv/soedenitelnyy-shnur-dlya-sistem-videonablyudeniya-bnc-pitanie-50m","Соеденительный шнур для систем видеонаблюдения (BNC+питание) 50М")</f>
        <v>Соеденительный шнур для систем видеонаблюдения (BNC+питание) 50М</v>
      </c>
      <c r="C129" s="22">
        <v>4</v>
      </c>
      <c r="D129" s="23">
        <v>4451</v>
      </c>
      <c r="E129" s="26">
        <v>750</v>
      </c>
      <c r="F129" s="25" t="s">
        <v>16</v>
      </c>
      <c r="G129" s="50"/>
      <c r="H129" s="25">
        <f>E129*G129</f>
        <v>0</v>
      </c>
      <c r="I129" s="44"/>
      <c r="J129" s="44"/>
    </row>
    <row r="130" spans="2:10" ht="12" customHeight="1" outlineLevel="2">
      <c r="B130" s="14" t="s">
        <v>35</v>
      </c>
      <c r="C130" s="15"/>
      <c r="D130" s="16"/>
      <c r="E130" s="17"/>
      <c r="F130" s="17"/>
      <c r="G130" s="47"/>
      <c r="H130" s="17">
        <f>E130*G130</f>
        <v>0</v>
      </c>
      <c r="I130" s="42"/>
      <c r="J130" s="42"/>
    </row>
    <row r="131" spans="2:10" s="1" customFormat="1" ht="61.5" customHeight="1" outlineLevel="3">
      <c r="B131" s="49" t="str">
        <f>HYPERLINK("http://rusat.tv/bnc-a-razem-dlya-koaksialnogo-kabelya","BNC-A разъём для коаксиального кабеля")</f>
        <v>BNC-A разъём для коаксиального кабеля</v>
      </c>
      <c r="C131" s="22">
        <v>98</v>
      </c>
      <c r="D131" s="23">
        <v>3240</v>
      </c>
      <c r="E131" s="26">
        <v>25</v>
      </c>
      <c r="F131" s="25" t="s">
        <v>16</v>
      </c>
      <c r="G131" s="50"/>
      <c r="H131" s="25">
        <f>E131*G131</f>
        <v>0</v>
      </c>
      <c r="I131" s="44"/>
      <c r="J131" s="44"/>
    </row>
    <row r="132" spans="2:10" s="1" customFormat="1" ht="61.5" customHeight="1" outlineLevel="3">
      <c r="B132" s="49" t="str">
        <f>HYPERLINK("http://rusat.tv/bnc-klema-pod-zazhim-video","BNC-клема под зажим видео")</f>
        <v>BNC-клема под зажим видео</v>
      </c>
      <c r="C132" s="22">
        <v>90</v>
      </c>
      <c r="D132" s="23">
        <v>3872</v>
      </c>
      <c r="E132" s="26">
        <v>15</v>
      </c>
      <c r="F132" s="25" t="s">
        <v>16</v>
      </c>
      <c r="G132" s="50"/>
      <c r="H132" s="25">
        <f>E132*G132</f>
        <v>0</v>
      </c>
      <c r="I132" s="44"/>
      <c r="J132" s="44"/>
    </row>
    <row r="133" spans="2:10" s="1" customFormat="1" ht="61.5" customHeight="1" outlineLevel="3">
      <c r="B133" s="49" t="str">
        <f>HYPERLINK("http://rusat.tv/bnc-s-bystrozazhimnoy-kolodkoy","BNC-клемма с быстрозажимной колодкой")</f>
        <v>BNC-клемма с быстрозажимной колодкой</v>
      </c>
      <c r="C133" s="22">
        <v>133</v>
      </c>
      <c r="D133" s="23">
        <v>5505</v>
      </c>
      <c r="E133" s="26">
        <v>25</v>
      </c>
      <c r="F133" s="25" t="s">
        <v>16</v>
      </c>
      <c r="G133" s="50"/>
      <c r="H133" s="25">
        <f>E133*G133</f>
        <v>0</v>
      </c>
      <c r="I133" s="44"/>
      <c r="J133" s="44"/>
    </row>
    <row r="134" spans="2:10" s="1" customFormat="1" ht="61.5" customHeight="1" outlineLevel="3">
      <c r="B134" s="49" t="str">
        <f>HYPERLINK("http://rusat.tv/power-razem-pod-zazhim-mama-","Power разъём под зажим (мама)")</f>
        <v>Power разъём под зажим (мама)</v>
      </c>
      <c r="C134" s="22">
        <v>107</v>
      </c>
      <c r="D134" s="23">
        <v>3583</v>
      </c>
      <c r="E134" s="26">
        <v>10</v>
      </c>
      <c r="F134" s="25" t="s">
        <v>16</v>
      </c>
      <c r="G134" s="50"/>
      <c r="H134" s="25">
        <f>E134*G134</f>
        <v>0</v>
      </c>
      <c r="I134" s="44"/>
      <c r="J134" s="44"/>
    </row>
    <row r="135" spans="2:10" s="1" customFormat="1" ht="61.5" customHeight="1" outlineLevel="3">
      <c r="B135" s="49" t="str">
        <f>HYPERLINK("http://rusat.tv/power-razem-pod-zazhim-papa-","Power разъём под зажим (папа)")</f>
        <v>Power разъём под зажим (папа)</v>
      </c>
      <c r="C135" s="22">
        <v>113</v>
      </c>
      <c r="D135" s="23">
        <v>3242</v>
      </c>
      <c r="E135" s="26">
        <v>10</v>
      </c>
      <c r="F135" s="25" t="s">
        <v>16</v>
      </c>
      <c r="G135" s="50"/>
      <c r="H135" s="25">
        <f>E135*G135</f>
        <v>0</v>
      </c>
      <c r="I135" s="44"/>
      <c r="J135" s="44"/>
    </row>
    <row r="136" spans="2:10" s="1" customFormat="1" ht="61.5" customHeight="1" outlineLevel="3">
      <c r="B136" s="49" t="str">
        <f>HYPERLINK("http://rusat.tv/shteker-rca-pod-vint","Штекер RCA под винт")</f>
        <v>Штекер RCA под винт</v>
      </c>
      <c r="C136" s="22">
        <v>161</v>
      </c>
      <c r="D136" s="23">
        <v>5457</v>
      </c>
      <c r="E136" s="26">
        <v>15</v>
      </c>
      <c r="F136" s="25" t="s">
        <v>16</v>
      </c>
      <c r="G136" s="50"/>
      <c r="H136" s="25">
        <f>E136*G136</f>
        <v>0</v>
      </c>
      <c r="I136" s="44"/>
      <c r="J136" s="44"/>
    </row>
    <row r="137" spans="2:10" ht="12" customHeight="1" outlineLevel="2">
      <c r="B137" s="14" t="s">
        <v>36</v>
      </c>
      <c r="C137" s="15"/>
      <c r="D137" s="16"/>
      <c r="E137" s="17"/>
      <c r="F137" s="17"/>
      <c r="G137" s="47"/>
      <c r="H137" s="17">
        <f>E137*G137</f>
        <v>0</v>
      </c>
      <c r="I137" s="42"/>
      <c r="J137" s="42"/>
    </row>
    <row r="138" spans="2:10" s="1" customFormat="1" ht="61.5" customHeight="1" outlineLevel="3">
      <c r="B138" s="49" t="str">
        <f>HYPERLINK("http://rusat.tv/smart-brelok-ts-mifare","Smart-брелок TS Mifare")</f>
        <v>Smart-брелок TS Mifare</v>
      </c>
      <c r="C138" s="22">
        <v>100</v>
      </c>
      <c r="D138" s="23">
        <v>6647</v>
      </c>
      <c r="E138" s="26">
        <v>15</v>
      </c>
      <c r="F138" s="25" t="s">
        <v>16</v>
      </c>
      <c r="G138" s="50"/>
      <c r="H138" s="25">
        <f>E138*G138</f>
        <v>0</v>
      </c>
      <c r="I138" s="44"/>
      <c r="J138" s="44"/>
    </row>
    <row r="139" spans="2:10" s="1" customFormat="1" ht="61.5" customHeight="1" outlineLevel="3">
      <c r="B139" s="49" t="str">
        <f>HYPERLINK("http://rusat.tv/buz","Блок управления замка (БУЗ) ATIS")</f>
        <v>Блок управления замка (БУЗ) ATIS</v>
      </c>
      <c r="C139" s="22">
        <v>3</v>
      </c>
      <c r="D139" s="23">
        <v>3905</v>
      </c>
      <c r="E139" s="26">
        <v>300</v>
      </c>
      <c r="F139" s="25" t="s">
        <v>16</v>
      </c>
      <c r="G139" s="50"/>
      <c r="H139" s="25">
        <f>E139*G139</f>
        <v>0</v>
      </c>
      <c r="I139" s="44"/>
      <c r="J139" s="44"/>
    </row>
    <row r="140" spans="2:10" s="1" customFormat="1" ht="61.5" customHeight="1" outlineLevel="3">
      <c r="B140" s="49" t="str">
        <f>HYPERLINK("http://rusat.tv/brelok-rfid-keyfob-em-rw-yellow","Брелок RFID KEYFOB EM RW-Yellow")</f>
        <v>Брелок RFID KEYFOB EM RW-Yellow</v>
      </c>
      <c r="C140" s="22">
        <v>88</v>
      </c>
      <c r="D140" s="23">
        <v>5964</v>
      </c>
      <c r="E140" s="26">
        <v>25</v>
      </c>
      <c r="F140" s="25" t="s">
        <v>16</v>
      </c>
      <c r="G140" s="50"/>
      <c r="H140" s="25">
        <f>E140*G140</f>
        <v>0</v>
      </c>
      <c r="I140" s="44"/>
      <c r="J140" s="44"/>
    </row>
    <row r="141" spans="2:10" s="1" customFormat="1" ht="61.5" customHeight="1" outlineLevel="3">
      <c r="B141" s="49" t="str">
        <f>HYPERLINK("http://rusat.tv/brelok-rfid-keyfob-em-red","Брелок RFID KEYFOB EM-Blue")</f>
        <v>Брелок RFID KEYFOB EM-Blue</v>
      </c>
      <c r="C141" s="22">
        <v>100</v>
      </c>
      <c r="D141" s="23">
        <v>5305</v>
      </c>
      <c r="E141" s="26">
        <v>15</v>
      </c>
      <c r="F141" s="25" t="s">
        <v>16</v>
      </c>
      <c r="G141" s="50"/>
      <c r="H141" s="25">
        <f>E141*G141</f>
        <v>0</v>
      </c>
      <c r="I141" s="44"/>
      <c r="J141" s="44"/>
    </row>
    <row r="142" spans="2:10" s="1" customFormat="1" ht="61.5" customHeight="1" outlineLevel="3">
      <c r="B142" s="49" t="str">
        <f>HYPERLINK("http://rusat.tv/brelok-rfid-keyfob-em-grey","Брелок RFID KEYFOB EM-Green")</f>
        <v>Брелок RFID KEYFOB EM-Green</v>
      </c>
      <c r="C142" s="22">
        <v>1</v>
      </c>
      <c r="D142" s="23">
        <v>4888</v>
      </c>
      <c r="E142" s="26">
        <v>10</v>
      </c>
      <c r="F142" s="25" t="s">
        <v>16</v>
      </c>
      <c r="G142" s="50"/>
      <c r="H142" s="25">
        <f>E142*G142</f>
        <v>0</v>
      </c>
      <c r="I142" s="44"/>
      <c r="J142" s="44"/>
    </row>
    <row r="143" spans="2:10" s="1" customFormat="1" ht="61.5" customHeight="1" outlineLevel="3">
      <c r="B143" s="49" t="str">
        <f>HYPERLINK("http://rusat.tv/klyuch-touch-memory-tm1990a-ibutton-ts","Брелок Touch Memory TM1990A iButton TS")</f>
        <v>Брелок Touch Memory TM1990A iButton TS</v>
      </c>
      <c r="C143" s="22">
        <v>20</v>
      </c>
      <c r="D143" s="23">
        <v>6650</v>
      </c>
      <c r="E143" s="26">
        <v>40</v>
      </c>
      <c r="F143" s="25" t="s">
        <v>16</v>
      </c>
      <c r="G143" s="50"/>
      <c r="H143" s="25">
        <f>E143*G143</f>
        <v>0</v>
      </c>
      <c r="I143" s="44"/>
      <c r="J143" s="44"/>
    </row>
    <row r="144" spans="2:10" s="1" customFormat="1" ht="61.5" customHeight="1" outlineLevel="3">
      <c r="B144" s="49" t="str">
        <f>HYPERLINK("http://rusat.tv/gibkiy-dvernoy-perekhod-10-mm-kl-468-","Гибкий дверной переход 10 мм KL-10 ПВХ")</f>
        <v>Гибкий дверной переход 10 мм KL-10 ПВХ</v>
      </c>
      <c r="C144" s="22">
        <v>21</v>
      </c>
      <c r="D144" s="23">
        <v>6543</v>
      </c>
      <c r="E144" s="26">
        <v>150</v>
      </c>
      <c r="F144" s="25" t="s">
        <v>16</v>
      </c>
      <c r="G144" s="50"/>
      <c r="H144" s="25">
        <f>E144*G144</f>
        <v>0</v>
      </c>
      <c r="I144" s="44"/>
      <c r="J144" s="44"/>
    </row>
    <row r="145" spans="2:10" s="1" customFormat="1" ht="61.5" customHeight="1" outlineLevel="3">
      <c r="B145" s="49" t="str">
        <f>HYPERLINK("http://rusat.tv/dovodchik-atis-dc-602-silver","Доводчик Atis DC-602 Silver")</f>
        <v>Доводчик Atis DC-602 Silver</v>
      </c>
      <c r="C145" s="22">
        <v>1</v>
      </c>
      <c r="D145" s="23">
        <v>5310</v>
      </c>
      <c r="E145" s="24">
        <v>1200</v>
      </c>
      <c r="F145" s="25" t="s">
        <v>16</v>
      </c>
      <c r="G145" s="50"/>
      <c r="H145" s="25">
        <f>E145*G145</f>
        <v>0</v>
      </c>
      <c r="I145" s="44"/>
      <c r="J145" s="44"/>
    </row>
    <row r="146" spans="2:10" s="1" customFormat="1" ht="61.5" customHeight="1" outlineLevel="3">
      <c r="B146" s="49" t="str">
        <f>HYPERLINK("http://rusat.tv/karta-ts-em-marine-tolstaya-","Карта TS EM-Marine толстая")</f>
        <v>Карта TS EM-Marine толстая</v>
      </c>
      <c r="C146" s="22">
        <v>20</v>
      </c>
      <c r="D146" s="23">
        <v>6648</v>
      </c>
      <c r="E146" s="26">
        <v>20</v>
      </c>
      <c r="F146" s="25" t="s">
        <v>16</v>
      </c>
      <c r="G146" s="50"/>
      <c r="H146" s="25">
        <f>E146*G146</f>
        <v>0</v>
      </c>
      <c r="I146" s="44"/>
      <c r="J146" s="44"/>
    </row>
    <row r="147" spans="2:10" s="1" customFormat="1" ht="61.5" customHeight="1" outlineLevel="3">
      <c r="B147" s="49" t="str">
        <f>HYPERLINK("http://rusat.tv/knopka-vykhoda-abk-800a-vreznaya-","Кнопка выхода ABK-800A (врезная)")</f>
        <v>Кнопка выхода ABK-800A (врезная)</v>
      </c>
      <c r="C147" s="22">
        <v>3</v>
      </c>
      <c r="D147" s="23">
        <v>3908</v>
      </c>
      <c r="E147" s="26">
        <v>380</v>
      </c>
      <c r="F147" s="25" t="s">
        <v>16</v>
      </c>
      <c r="G147" s="50"/>
      <c r="H147" s="25">
        <f>E147*G147</f>
        <v>0</v>
      </c>
      <c r="I147" s="44"/>
      <c r="J147" s="44"/>
    </row>
    <row r="148" spans="2:10" s="1" customFormat="1" ht="61.5" customHeight="1" outlineLevel="3">
      <c r="B148" s="49" t="str">
        <f>HYPERLINK("http://rusat.tv/knopka-vykhoda-abk-802d","Кнопка выхода ABK-802D")</f>
        <v>Кнопка выхода ABK-802D</v>
      </c>
      <c r="C148" s="22">
        <v>2</v>
      </c>
      <c r="D148" s="23">
        <v>3909</v>
      </c>
      <c r="E148" s="26">
        <v>250</v>
      </c>
      <c r="F148" s="25" t="s">
        <v>16</v>
      </c>
      <c r="G148" s="50"/>
      <c r="H148" s="25">
        <f>E148*G148</f>
        <v>0</v>
      </c>
      <c r="I148" s="44"/>
      <c r="J148" s="44"/>
    </row>
    <row r="149" spans="2:10" s="1" customFormat="1" ht="61.5" customHeight="1" outlineLevel="3">
      <c r="B149" s="49" t="str">
        <f>HYPERLINK("http://rusat.tv/knopka-vykhoda-pbk-815","Кнопка выхода TS-CLICK")</f>
        <v>Кнопка выхода TS-CLICK</v>
      </c>
      <c r="C149" s="22">
        <v>4</v>
      </c>
      <c r="D149" s="23">
        <v>4816</v>
      </c>
      <c r="E149" s="26">
        <v>400</v>
      </c>
      <c r="F149" s="25" t="s">
        <v>16</v>
      </c>
      <c r="G149" s="50"/>
      <c r="H149" s="25">
        <f>E149*G149</f>
        <v>0</v>
      </c>
      <c r="I149" s="44"/>
      <c r="J149" s="44"/>
    </row>
    <row r="150" spans="2:10" s="1" customFormat="1" ht="61.5" customHeight="1" outlineLevel="3">
      <c r="B150" s="49" t="str">
        <f>HYPERLINK("http://rusat.tv/knopka-vykhoda-at-h805a","Кнопка выхода TS-CLICK light")</f>
        <v>Кнопка выхода TS-CLICK light</v>
      </c>
      <c r="C150" s="22">
        <v>2</v>
      </c>
      <c r="D150" s="23">
        <v>6545</v>
      </c>
      <c r="E150" s="26">
        <v>500</v>
      </c>
      <c r="F150" s="25" t="s">
        <v>16</v>
      </c>
      <c r="G150" s="50"/>
      <c r="H150" s="25">
        <f>E150*G150</f>
        <v>0</v>
      </c>
      <c r="I150" s="44"/>
      <c r="J150" s="44"/>
    </row>
    <row r="151" spans="2:10" s="1" customFormat="1" ht="61.5" customHeight="1" outlineLevel="3">
      <c r="B151" s="49" t="str">
        <f>HYPERLINK("http://rusat.tv/knopka-kio-nakladnaya-","Кнопка КИО (накладная)")</f>
        <v>Кнопка КИО (накладная)</v>
      </c>
      <c r="C151" s="22">
        <v>4</v>
      </c>
      <c r="D151" s="23">
        <v>3911</v>
      </c>
      <c r="E151" s="26">
        <v>100</v>
      </c>
      <c r="F151" s="25" t="s">
        <v>16</v>
      </c>
      <c r="G151" s="50"/>
      <c r="H151" s="25">
        <f>E151*G151</f>
        <v>0</v>
      </c>
      <c r="I151" s="44"/>
      <c r="J151" s="44"/>
    </row>
    <row r="152" spans="2:10" s="1" customFormat="1" ht="61.5" customHeight="1" outlineLevel="3">
      <c r="B152" s="49" t="str">
        <f>HYPERLINK("http://rusat.tv/kodovaya-klaviatura-yk-668","Кодовая клавиатура YK-668")</f>
        <v>Кодовая клавиатура YK-668</v>
      </c>
      <c r="C152" s="22">
        <v>1</v>
      </c>
      <c r="D152" s="23">
        <v>5306</v>
      </c>
      <c r="E152" s="24">
        <v>1800</v>
      </c>
      <c r="F152" s="25" t="s">
        <v>16</v>
      </c>
      <c r="G152" s="50"/>
      <c r="H152" s="25">
        <f>E152*G152</f>
        <v>0</v>
      </c>
      <c r="I152" s="44"/>
      <c r="J152" s="44"/>
    </row>
    <row r="153" spans="2:10" s="1" customFormat="1" ht="61.5" customHeight="1" outlineLevel="3">
      <c r="B153" s="49" t="str">
        <f>HYPERLINK("http://rusat.tv/z-5r-kontroller-","Контроллер доступа Z-5R")</f>
        <v>Контроллер доступа Z-5R</v>
      </c>
      <c r="C153" s="22">
        <v>6</v>
      </c>
      <c r="D153" s="23">
        <v>7757</v>
      </c>
      <c r="E153" s="26">
        <v>750</v>
      </c>
      <c r="F153" s="25" t="s">
        <v>16</v>
      </c>
      <c r="G153" s="50"/>
      <c r="H153" s="25">
        <f>E153*G153</f>
        <v>0</v>
      </c>
      <c r="I153" s="44"/>
      <c r="J153" s="44"/>
    </row>
    <row r="154" spans="2:10" s="1" customFormat="1" ht="61.5" customHeight="1" outlineLevel="3">
      <c r="B154" s="49" t="str">
        <f>HYPERLINK("http://rusat.tv/kontroller-dostupa-avtonomnyy-z-5r-","Контроллер доступа автономный Matrix-II (Мод. EK)")</f>
        <v>Контроллер доступа автономный Matrix-II (Мод. EK)</v>
      </c>
      <c r="C154" s="22">
        <v>5</v>
      </c>
      <c r="D154" s="23">
        <v>6544</v>
      </c>
      <c r="E154" s="24">
        <v>2700</v>
      </c>
      <c r="F154" s="25" t="s">
        <v>16</v>
      </c>
      <c r="G154" s="50"/>
      <c r="H154" s="25">
        <f>E154*G154</f>
        <v>0</v>
      </c>
      <c r="I154" s="44"/>
      <c r="J154" s="44"/>
    </row>
    <row r="155" spans="2:10" s="1" customFormat="1" ht="61.5" customHeight="1" outlineLevel="3">
      <c r="B155" s="49" t="str">
        <f>HYPERLINK("http://rusat.tv/msk-slim","МСК СЛИМ")</f>
        <v>МСК СЛИМ</v>
      </c>
      <c r="C155" s="22">
        <v>5</v>
      </c>
      <c r="D155" s="23">
        <v>4894</v>
      </c>
      <c r="E155" s="24">
        <v>1500</v>
      </c>
      <c r="F155" s="25" t="s">
        <v>16</v>
      </c>
      <c r="G155" s="50"/>
      <c r="H155" s="25">
        <f>E155*G155</f>
        <v>0</v>
      </c>
      <c r="I155" s="44"/>
      <c r="J155" s="44"/>
    </row>
    <row r="156" spans="2:10" s="1" customFormat="1" ht="61.5" customHeight="1" outlineLevel="3">
      <c r="B156" s="49" t="str">
        <f>HYPERLINK("http://rusat.tv/msc-modul-sopryazheniya-cifrovoy","МСЦ Модуль сопряжения цифровой")</f>
        <v>МСЦ Модуль сопряжения цифровой</v>
      </c>
      <c r="C156" s="22">
        <v>5</v>
      </c>
      <c r="D156" s="23">
        <v>4147</v>
      </c>
      <c r="E156" s="26">
        <v>850</v>
      </c>
      <c r="F156" s="25" t="s">
        <v>16</v>
      </c>
      <c r="G156" s="50"/>
      <c r="H156" s="25">
        <f>E156*G156</f>
        <v>0</v>
      </c>
      <c r="I156" s="44"/>
      <c r="J156" s="44"/>
    </row>
    <row r="157" spans="2:10" s="1" customFormat="1" ht="61.5" customHeight="1" outlineLevel="3">
      <c r="B157" s="49" t="str">
        <f>HYPERLINK("http://rusat.tv/schityvatelmatrix-ii-mod-e-","Считыватель Matrix-II (мод. Е)")</f>
        <v>Считыватель Matrix-II (мод. Е)</v>
      </c>
      <c r="C157" s="22">
        <v>4</v>
      </c>
      <c r="D157" s="23">
        <v>7762</v>
      </c>
      <c r="E157" s="24">
        <v>1850</v>
      </c>
      <c r="F157" s="25" t="s">
        <v>16</v>
      </c>
      <c r="G157" s="50"/>
      <c r="H157" s="25">
        <f>E157*G157</f>
        <v>0</v>
      </c>
      <c r="I157" s="44"/>
      <c r="J157" s="44"/>
    </row>
    <row r="158" spans="2:10" s="1" customFormat="1" ht="61.5" customHeight="1" outlineLevel="3">
      <c r="B158" s="49" t="str">
        <f>HYPERLINK("http://rusat.tv/schityvatel-ctm-hr","Считыватель Touch Memory CTM-HR")</f>
        <v>Считыватель Touch Memory CTM-HR</v>
      </c>
      <c r="C158" s="22">
        <v>4</v>
      </c>
      <c r="D158" s="23">
        <v>6649</v>
      </c>
      <c r="E158" s="26">
        <v>350</v>
      </c>
      <c r="F158" s="25" t="s">
        <v>16</v>
      </c>
      <c r="G158" s="50"/>
      <c r="H158" s="25">
        <f>E158*G158</f>
        <v>0</v>
      </c>
      <c r="I158" s="44"/>
      <c r="J158" s="44"/>
    </row>
    <row r="159" spans="2:10" ht="12" customHeight="1" outlineLevel="3">
      <c r="B159" s="18" t="s">
        <v>37</v>
      </c>
      <c r="C159" s="19"/>
      <c r="D159" s="20"/>
      <c r="E159" s="21"/>
      <c r="F159" s="21"/>
      <c r="G159" s="48"/>
      <c r="H159" s="21">
        <f>E159*G159</f>
        <v>0</v>
      </c>
      <c r="I159" s="43"/>
      <c r="J159" s="43"/>
    </row>
    <row r="160" spans="2:10" s="1" customFormat="1" ht="61.5" customHeight="1" outlineLevel="4">
      <c r="B160" s="49" t="str">
        <f>HYPERLINK("http://rusat.tv/l-obraznyy-kronshteyn-180l","L образный кронштейн LS-180F")</f>
        <v>L образный кронштейн LS-180F</v>
      </c>
      <c r="C160" s="22">
        <v>2</v>
      </c>
      <c r="D160" s="23">
        <v>4662</v>
      </c>
      <c r="E160" s="26">
        <v>350</v>
      </c>
      <c r="F160" s="25" t="s">
        <v>16</v>
      </c>
      <c r="G160" s="50"/>
      <c r="H160" s="25">
        <f>E160*G160</f>
        <v>0</v>
      </c>
      <c r="I160" s="44"/>
      <c r="J160" s="44"/>
    </row>
    <row r="161" spans="2:10" s="1" customFormat="1" ht="61.5" customHeight="1" outlineLevel="4">
      <c r="B161" s="49" t="str">
        <f>HYPERLINK("http://rusat.tv/elektrozashchelka-vreznaya-ys-130nc-s","Электрозащелка врезная YS-130NC-S")</f>
        <v>Электрозащелка врезная YS-130NC-S</v>
      </c>
      <c r="C161" s="22">
        <v>1</v>
      </c>
      <c r="D161" s="23">
        <v>5307</v>
      </c>
      <c r="E161" s="24">
        <v>1250</v>
      </c>
      <c r="F161" s="25" t="s">
        <v>16</v>
      </c>
      <c r="G161" s="50"/>
      <c r="H161" s="25">
        <f>E161*G161</f>
        <v>0</v>
      </c>
      <c r="I161" s="44"/>
      <c r="J161" s="44"/>
    </row>
    <row r="162" spans="2:10" s="1" customFormat="1" ht="61.5" customHeight="1" outlineLevel="4">
      <c r="B162" s="49" t="str">
        <f>HYPERLINK("http://rusat.tv/zamok-elektromagnitnyy-ml-295k-s-ugolkom","Электромагнитный замок ML-295K с уголком")</f>
        <v>Электромагнитный замок ML-295K с уголком</v>
      </c>
      <c r="C162" s="22">
        <v>4</v>
      </c>
      <c r="D162" s="23">
        <v>6542</v>
      </c>
      <c r="E162" s="24">
        <v>2850</v>
      </c>
      <c r="F162" s="25" t="s">
        <v>16</v>
      </c>
      <c r="G162" s="50"/>
      <c r="H162" s="25">
        <f>E162*G162</f>
        <v>0</v>
      </c>
      <c r="I162" s="44"/>
      <c r="J162" s="44"/>
    </row>
    <row r="163" spans="2:10" s="1" customFormat="1" ht="61.5" customHeight="1" outlineLevel="4">
      <c r="B163" s="49" t="str">
        <f>HYPERLINK("http://rusat.tv/elektromagnitnyy-zamok-lm1802-zkteco-180kg","Электромагнитный замок MS-180")</f>
        <v>Электромагнитный замок MS-180</v>
      </c>
      <c r="C163" s="22">
        <v>1</v>
      </c>
      <c r="D163" s="23">
        <v>5302</v>
      </c>
      <c r="E163" s="24">
        <v>1900</v>
      </c>
      <c r="F163" s="25" t="s">
        <v>16</v>
      </c>
      <c r="G163" s="50"/>
      <c r="H163" s="25">
        <f>E163*G163</f>
        <v>0</v>
      </c>
      <c r="I163" s="44"/>
      <c r="J163" s="44"/>
    </row>
    <row r="164" spans="2:10" s="1" customFormat="1" ht="61.5" customHeight="1" outlineLevel="4">
      <c r="B164" s="49" t="str">
        <f>HYPERLINK("http://rusat.tv/elektromagnitnyy-zamok-lm2802-zkteco-280kg","Электромагнитный замок MS-280LED")</f>
        <v>Электромагнитный замок MS-280LED</v>
      </c>
      <c r="C164" s="22">
        <v>4</v>
      </c>
      <c r="D164" s="23">
        <v>5303</v>
      </c>
      <c r="E164" s="24">
        <v>1700</v>
      </c>
      <c r="F164" s="25" t="s">
        <v>16</v>
      </c>
      <c r="G164" s="50"/>
      <c r="H164" s="25">
        <f>E164*G164</f>
        <v>0</v>
      </c>
      <c r="I164" s="44"/>
      <c r="J164" s="44"/>
    </row>
    <row r="165" spans="2:10" s="1" customFormat="1" ht="61.5" customHeight="1" outlineLevel="4">
      <c r="B165" s="49" t="str">
        <f>HYPERLINK("http://rusat.tv/elektromekhanicheskiy-zamok-atis-lock-ss","Электромеханический замок Atis Lock SS")</f>
        <v>Электромеханический замок Atis Lock SS</v>
      </c>
      <c r="C165" s="22">
        <v>4</v>
      </c>
      <c r="D165" s="23">
        <v>3948</v>
      </c>
      <c r="E165" s="24">
        <v>1800</v>
      </c>
      <c r="F165" s="25" t="s">
        <v>16</v>
      </c>
      <c r="G165" s="50"/>
      <c r="H165" s="25">
        <f>E165*G165</f>
        <v>0</v>
      </c>
      <c r="I165" s="44"/>
      <c r="J165" s="44"/>
    </row>
    <row r="166" spans="2:10" s="1" customFormat="1" ht="61.5" customHeight="1" outlineLevel="4">
      <c r="B166" s="49" t="str">
        <f>HYPERLINK("http://rusat.tv/elektromagnitnyy-zamok-nakladnoy-ym-280","Электромеханический замок, CTV Lock-E01")</f>
        <v>Электромеханический замок, CTV Lock-E01</v>
      </c>
      <c r="C166" s="22">
        <v>1</v>
      </c>
      <c r="D166" s="23">
        <v>3910</v>
      </c>
      <c r="E166" s="24">
        <v>1600</v>
      </c>
      <c r="F166" s="25" t="s">
        <v>16</v>
      </c>
      <c r="G166" s="50"/>
      <c r="H166" s="25">
        <f>E166*G166</f>
        <v>0</v>
      </c>
      <c r="I166" s="44"/>
      <c r="J166" s="44"/>
    </row>
    <row r="167" spans="2:10" ht="12" customHeight="1" outlineLevel="2">
      <c r="B167" s="14" t="s">
        <v>38</v>
      </c>
      <c r="C167" s="15"/>
      <c r="D167" s="16"/>
      <c r="E167" s="17"/>
      <c r="F167" s="17"/>
      <c r="G167" s="47"/>
      <c r="H167" s="17">
        <f>E167*G167</f>
        <v>0</v>
      </c>
      <c r="I167" s="42"/>
      <c r="J167" s="42"/>
    </row>
    <row r="168" spans="2:10" s="1" customFormat="1" ht="61.5" customHeight="1" outlineLevel="3">
      <c r="B168" s="49" t="str">
        <f>HYPERLINK("http://rusat.tv/aktivnyy-mikrofon-dh-pfm140","Активный микрофон DH-HAP100")</f>
        <v>Активный микрофон DH-HAP100</v>
      </c>
      <c r="C168" s="22">
        <v>5</v>
      </c>
      <c r="D168" s="23">
        <v>2123</v>
      </c>
      <c r="E168" s="24">
        <v>1200</v>
      </c>
      <c r="F168" s="25" t="s">
        <v>16</v>
      </c>
      <c r="G168" s="50"/>
      <c r="H168" s="25">
        <f>E168*G168</f>
        <v>0</v>
      </c>
      <c r="I168" s="44"/>
      <c r="J168" s="44"/>
    </row>
    <row r="169" spans="2:10" s="1" customFormat="1" ht="61.5" customHeight="1" outlineLevel="3">
      <c r="B169" s="49" t="str">
        <f>HYPERLINK("http://rusat.tv/korobka-raspayachnaya-sp-box-120x50","Коробка распаячная SP-BOX 120x50")</f>
        <v>Коробка распаячная SP-BOX 120x50</v>
      </c>
      <c r="C169" s="22">
        <v>17</v>
      </c>
      <c r="D169" s="23">
        <v>7887</v>
      </c>
      <c r="E169" s="26">
        <v>90</v>
      </c>
      <c r="F169" s="25" t="s">
        <v>16</v>
      </c>
      <c r="G169" s="50"/>
      <c r="H169" s="25">
        <f>E169*G169</f>
        <v>0</v>
      </c>
      <c r="I169" s="44"/>
      <c r="J169" s="44"/>
    </row>
    <row r="170" spans="2:10" s="1" customFormat="1" ht="61.5" customHeight="1" outlineLevel="3">
      <c r="B170" s="49" t="str">
        <f>HYPERLINK("http://rusat.tv/korobka-raspayachnaya-sp-box-130x130x50","Коробка распаячная SP-BOX 130x130x50")</f>
        <v>Коробка распаячная SP-BOX 130x130x50</v>
      </c>
      <c r="C170" s="22">
        <v>56</v>
      </c>
      <c r="D170" s="23">
        <v>3624</v>
      </c>
      <c r="E170" s="26">
        <v>90</v>
      </c>
      <c r="F170" s="25" t="s">
        <v>16</v>
      </c>
      <c r="G170" s="50"/>
      <c r="H170" s="25">
        <f>E170*G170</f>
        <v>0</v>
      </c>
      <c r="I170" s="44"/>
      <c r="J170" s="44"/>
    </row>
    <row r="171" spans="2:10" s="1" customFormat="1" ht="61.5" customHeight="1" outlineLevel="3">
      <c r="B171" s="49" t="str">
        <f>HYPERLINK("http://rusat.tv/korobka-raspayachnaya-jb1","Коробка распаячная TSi-JB-02")</f>
        <v>Коробка распаячная TSi-JB-02</v>
      </c>
      <c r="C171" s="22">
        <v>6</v>
      </c>
      <c r="D171" s="23">
        <v>5469</v>
      </c>
      <c r="E171" s="26">
        <v>190</v>
      </c>
      <c r="F171" s="25" t="s">
        <v>16</v>
      </c>
      <c r="G171" s="50"/>
      <c r="H171" s="25">
        <f>E171*G171</f>
        <v>0</v>
      </c>
      <c r="I171" s="44"/>
      <c r="J171" s="44"/>
    </row>
    <row r="172" spans="2:10" s="1" customFormat="1" ht="61.5" customHeight="1" outlineLevel="3">
      <c r="B172" s="49" t="str">
        <f>HYPERLINK("http://rusat.tv/kronshteyn-dahua-pfb203w","Кронштейн Dahua PFB203W")</f>
        <v>Кронштейн Dahua PFB203W</v>
      </c>
      <c r="C172" s="22">
        <v>2</v>
      </c>
      <c r="D172" s="23">
        <v>2663</v>
      </c>
      <c r="E172" s="26">
        <v>700</v>
      </c>
      <c r="F172" s="25" t="s">
        <v>16</v>
      </c>
      <c r="G172" s="50"/>
      <c r="H172" s="25">
        <f>E172*G172</f>
        <v>0</v>
      </c>
      <c r="I172" s="44"/>
      <c r="J172" s="44"/>
    </row>
    <row r="173" spans="2:10" s="1" customFormat="1" ht="61.5" customHeight="1" outlineLevel="3">
      <c r="B173" s="49" t="str">
        <f>HYPERLINK("http://rusat.tv/razvetvitel-falcon-eye-w-sp1-4h","Разветвитель питания на 4 камеры")</f>
        <v>Разветвитель питания на 4 камеры</v>
      </c>
      <c r="C173" s="22">
        <v>19</v>
      </c>
      <c r="D173" s="23">
        <v>174</v>
      </c>
      <c r="E173" s="26">
        <v>150</v>
      </c>
      <c r="F173" s="25" t="s">
        <v>16</v>
      </c>
      <c r="G173" s="50"/>
      <c r="H173" s="25">
        <f>E173*G173</f>
        <v>0</v>
      </c>
      <c r="I173" s="44"/>
      <c r="J173" s="44"/>
    </row>
    <row r="174" spans="2:10" s="1" customFormat="1" ht="61.5" customHeight="1" outlineLevel="3">
      <c r="B174" s="49" t="str">
        <f>HYPERLINK("http://rusat.tv/razvetvitel-pitaniya-na-8-kamery","Разветвитель питания на 8 камеры")</f>
        <v>Разветвитель питания на 8 камеры</v>
      </c>
      <c r="C174" s="22">
        <v>10</v>
      </c>
      <c r="D174" s="23">
        <v>1175</v>
      </c>
      <c r="E174" s="26">
        <v>200</v>
      </c>
      <c r="F174" s="25" t="s">
        <v>16</v>
      </c>
      <c r="G174" s="50"/>
      <c r="H174" s="25">
        <f>E174*G174</f>
        <v>0</v>
      </c>
      <c r="I174" s="44"/>
      <c r="J174" s="44"/>
    </row>
    <row r="175" spans="2:10" s="1" customFormat="1" ht="61.5" customHeight="1" outlineLevel="3">
      <c r="B175" s="49" t="str">
        <f>HYPERLINK("http://rusat.tv/shkaf-montazhnyy-ashm-2-280kh330kh140","Шкаф монтажный АШМ-2А 290х390х190")</f>
        <v>Шкаф монтажный АШМ-2А 290х390х190</v>
      </c>
      <c r="C175" s="22">
        <v>1</v>
      </c>
      <c r="D175" s="23">
        <v>6085</v>
      </c>
      <c r="E175" s="24">
        <v>3000</v>
      </c>
      <c r="F175" s="25" t="s">
        <v>16</v>
      </c>
      <c r="G175" s="50"/>
      <c r="H175" s="25">
        <f>E175*G175</f>
        <v>0</v>
      </c>
      <c r="I175" s="44"/>
      <c r="J175" s="44"/>
    </row>
    <row r="176" spans="2:10" ht="12" customHeight="1" outlineLevel="2">
      <c r="B176" s="14" t="s">
        <v>39</v>
      </c>
      <c r="C176" s="15"/>
      <c r="D176" s="16"/>
      <c r="E176" s="17"/>
      <c r="F176" s="17"/>
      <c r="G176" s="47"/>
      <c r="H176" s="17">
        <f>E176*G176</f>
        <v>0</v>
      </c>
      <c r="I176" s="42"/>
      <c r="J176" s="42"/>
    </row>
    <row r="177" spans="2:10" ht="12" customHeight="1" outlineLevel="3">
      <c r="B177" s="18" t="s">
        <v>40</v>
      </c>
      <c r="C177" s="19"/>
      <c r="D177" s="20"/>
      <c r="E177" s="21"/>
      <c r="F177" s="21"/>
      <c r="G177" s="48"/>
      <c r="H177" s="21">
        <f>E177*G177</f>
        <v>0</v>
      </c>
      <c r="I177" s="43"/>
      <c r="J177" s="43"/>
    </row>
    <row r="178" spans="2:10" s="1" customFormat="1" ht="61.5" customHeight="1" outlineLevel="4">
      <c r="B178" s="49" t="str">
        <f>HYPERLINK("http://rusat.tv/videoregistrator-ahd-4-kh-kanalnyy-litetec-lvr-541a","Видеорегистратор Fiesta A-8H 4mp")</f>
        <v>Видеорегистратор Fiesta A-8H 4mp</v>
      </c>
      <c r="C178" s="22">
        <v>1</v>
      </c>
      <c r="D178" s="23">
        <v>2922</v>
      </c>
      <c r="E178" s="24">
        <v>5600</v>
      </c>
      <c r="F178" s="25" t="s">
        <v>16</v>
      </c>
      <c r="G178" s="50"/>
      <c r="H178" s="25">
        <f>E178*G178</f>
        <v>0</v>
      </c>
      <c r="I178" s="44"/>
      <c r="J178" s="44"/>
    </row>
    <row r="179" spans="2:10" s="1" customFormat="1" ht="61.5" customHeight="1" outlineLevel="4">
      <c r="B179" s="49" t="str">
        <f>HYPERLINK("http://rusat.tv/videoregistrator-ca-a802a-4h1-1080n","Видеорегистратор Fiesta F-4H4 1080N")</f>
        <v>Видеорегистратор Fiesta F-4H4 1080N</v>
      </c>
      <c r="C179" s="22">
        <v>1</v>
      </c>
      <c r="D179" s="23">
        <v>1099</v>
      </c>
      <c r="E179" s="24">
        <v>2500</v>
      </c>
      <c r="F179" s="25" t="s">
        <v>16</v>
      </c>
      <c r="G179" s="50"/>
      <c r="H179" s="25">
        <f>E179*G179</f>
        <v>0</v>
      </c>
      <c r="I179" s="44"/>
      <c r="J179" s="44"/>
    </row>
    <row r="180" spans="2:10" s="1" customFormat="1" ht="61.5" customHeight="1" outlineLevel="4">
      <c r="B180" s="49" t="str">
        <f>HYPERLINK("http://rusat.tv/videoregistrator-gm-a802a-8h2-1080p","Видеорегистратор Fiesta F-8H4 1080P")</f>
        <v>Видеорегистратор Fiesta F-8H4 1080P</v>
      </c>
      <c r="C180" s="22">
        <v>3</v>
      </c>
      <c r="D180" s="23">
        <v>1959</v>
      </c>
      <c r="E180" s="24">
        <v>4500</v>
      </c>
      <c r="F180" s="25" t="s">
        <v>16</v>
      </c>
      <c r="G180" s="50"/>
      <c r="H180" s="25">
        <f>E180*G180</f>
        <v>0</v>
      </c>
      <c r="I180" s="44"/>
      <c r="J180" s="44"/>
    </row>
    <row r="181" spans="2:10" ht="12" customHeight="1" outlineLevel="2">
      <c r="B181" s="14" t="s">
        <v>41</v>
      </c>
      <c r="C181" s="15"/>
      <c r="D181" s="16"/>
      <c r="E181" s="17"/>
      <c r="F181" s="17"/>
      <c r="G181" s="47"/>
      <c r="H181" s="17">
        <f>E181*G181</f>
        <v>0</v>
      </c>
      <c r="I181" s="42"/>
      <c r="J181" s="42"/>
    </row>
    <row r="182" spans="2:10" ht="12" customHeight="1" outlineLevel="3">
      <c r="B182" s="18" t="s">
        <v>25</v>
      </c>
      <c r="C182" s="19"/>
      <c r="D182" s="20"/>
      <c r="E182" s="21"/>
      <c r="F182" s="21"/>
      <c r="G182" s="48"/>
      <c r="H182" s="21">
        <f>E182*G182</f>
        <v>0</v>
      </c>
      <c r="I182" s="43"/>
      <c r="J182" s="43"/>
    </row>
    <row r="183" spans="2:10" s="1" customFormat="1" ht="61.5" customHeight="1" outlineLevel="4">
      <c r="B183" s="49" t="str">
        <f>HYPERLINK("http://rusat.tv/z-5r-v-korobke-","Z-5R")</f>
        <v>Z-5R</v>
      </c>
      <c r="C183" s="22">
        <v>1</v>
      </c>
      <c r="D183" s="23">
        <v>786</v>
      </c>
      <c r="E183" s="26">
        <v>680</v>
      </c>
      <c r="F183" s="25" t="s">
        <v>16</v>
      </c>
      <c r="G183" s="50"/>
      <c r="H183" s="25">
        <f>E183*G183</f>
        <v>0</v>
      </c>
      <c r="I183" s="44"/>
      <c r="J183" s="44"/>
    </row>
  </sheetData>
  <sheetProtection sheet="1" objects="1" scenarios="1"/>
  <mergeCells count="177">
    <mergeCell ref="I178:J178"/>
    <mergeCell ref="I179:J179"/>
    <mergeCell ref="I180:J180"/>
    <mergeCell ref="I181:J181"/>
    <mergeCell ref="I182:J182"/>
    <mergeCell ref="I183:J183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59:J159"/>
    <mergeCell ref="I142:J142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B10:B11"/>
    <mergeCell ref="C10:C11"/>
    <mergeCell ref="D10:D11"/>
    <mergeCell ref="E10:H10"/>
    <mergeCell ref="I10:J11"/>
    <mergeCell ref="I12:J12"/>
    <mergeCell ref="I13:J13"/>
    <mergeCell ref="I14:J14"/>
    <mergeCell ref="I15:J15"/>
  </mergeCells>
  <dataValidations count="171">
    <dataValidation type="whole" allowBlank="1" showInputMessage="1" showErrorMessage="1" errorTitle="Некоректные данные" sqref="G13">
      <formula1>0</formula1>
      <formula2>9999</formula2>
    </dataValidation>
    <dataValidation type="whole" allowBlank="1" showInputMessage="1" showErrorMessage="1" errorTitle="Некоректные данные" sqref="G14">
      <formula1>0</formula1>
      <formula2>9999</formula2>
    </dataValidation>
    <dataValidation type="whole" allowBlank="1" showInputMessage="1" showErrorMessage="1" errorTitle="Некоректные данные" sqref="G15">
      <formula1>0</formula1>
      <formula2>9999</formula2>
    </dataValidation>
    <dataValidation type="whole" allowBlank="1" showInputMessage="1" showErrorMessage="1" errorTitle="Некоректные данные" sqref="G16">
      <formula1>0</formula1>
      <formula2>9999</formula2>
    </dataValidation>
    <dataValidation type="whole" allowBlank="1" showInputMessage="1" showErrorMessage="1" errorTitle="Некоректные данные" sqref="G17">
      <formula1>0</formula1>
      <formula2>9999</formula2>
    </dataValidation>
    <dataValidation type="whole" allowBlank="1" showInputMessage="1" showErrorMessage="1" errorTitle="Некоректные данные" sqref="G18">
      <formula1>0</formula1>
      <formula2>9999</formula2>
    </dataValidation>
    <dataValidation type="whole" allowBlank="1" showInputMessage="1" showErrorMessage="1" errorTitle="Некоректные данные" sqref="G19">
      <formula1>0</formula1>
      <formula2>9999</formula2>
    </dataValidation>
    <dataValidation type="whole" allowBlank="1" showInputMessage="1" showErrorMessage="1" errorTitle="Некоректные данные" sqref="G20">
      <formula1>0</formula1>
      <formula2>9999</formula2>
    </dataValidation>
    <dataValidation type="whole" allowBlank="1" showInputMessage="1" showErrorMessage="1" errorTitle="Некоректные данные" sqref="G21">
      <formula1>0</formula1>
      <formula2>9999</formula2>
    </dataValidation>
    <dataValidation type="whole" allowBlank="1" showInputMessage="1" showErrorMessage="1" errorTitle="Некоректные данные" sqref="G22">
      <formula1>0</formula1>
      <formula2>9999</formula2>
    </dataValidation>
    <dataValidation type="whole" allowBlank="1" showInputMessage="1" showErrorMessage="1" errorTitle="Некоректные данные" sqref="G23">
      <formula1>0</formula1>
      <formula2>9999</formula2>
    </dataValidation>
    <dataValidation type="whole" allowBlank="1" showInputMessage="1" showErrorMessage="1" errorTitle="Некоректные данные" sqref="G24">
      <formula1>0</formula1>
      <formula2>9999</formula2>
    </dataValidation>
    <dataValidation type="whole" allowBlank="1" showInputMessage="1" showErrorMessage="1" errorTitle="Некоректные данные" sqref="G25">
      <formula1>0</formula1>
      <formula2>9999</formula2>
    </dataValidation>
    <dataValidation type="whole" allowBlank="1" showInputMessage="1" showErrorMessage="1" errorTitle="Некоректные данные" sqref="G26">
      <formula1>0</formula1>
      <formula2>9999</formula2>
    </dataValidation>
    <dataValidation type="whole" allowBlank="1" showInputMessage="1" showErrorMessage="1" errorTitle="Некоректные данные" sqref="G27">
      <formula1>0</formula1>
      <formula2>9999</formula2>
    </dataValidation>
    <dataValidation type="whole" allowBlank="1" showInputMessage="1" showErrorMessage="1" errorTitle="Некоректные данные" sqref="G28">
      <formula1>0</formula1>
      <formula2>9999</formula2>
    </dataValidation>
    <dataValidation type="whole" allowBlank="1" showInputMessage="1" showErrorMessage="1" errorTitle="Некоректные данные" sqref="G29">
      <formula1>0</formula1>
      <formula2>9999</formula2>
    </dataValidation>
    <dataValidation type="whole" allowBlank="1" showInputMessage="1" showErrorMessage="1" errorTitle="Некоректные данные" sqref="G30">
      <formula1>0</formula1>
      <formula2>9999</formula2>
    </dataValidation>
    <dataValidation type="whole" allowBlank="1" showInputMessage="1" showErrorMessage="1" errorTitle="Некоректные данные" sqref="G31">
      <formula1>0</formula1>
      <formula2>9999</formula2>
    </dataValidation>
    <dataValidation type="whole" allowBlank="1" showInputMessage="1" showErrorMessage="1" errorTitle="Некоректные данные" sqref="G32">
      <formula1>0</formula1>
      <formula2>9999</formula2>
    </dataValidation>
    <dataValidation type="whole" allowBlank="1" showInputMessage="1" showErrorMessage="1" errorTitle="Некоректные данные" sqref="G33">
      <formula1>0</formula1>
      <formula2>9999</formula2>
    </dataValidation>
    <dataValidation type="whole" allowBlank="1" showInputMessage="1" showErrorMessage="1" errorTitle="Некоректные данные" sqref="G34">
      <formula1>0</formula1>
      <formula2>9999</formula2>
    </dataValidation>
    <dataValidation type="whole" allowBlank="1" showInputMessage="1" showErrorMessage="1" errorTitle="Некоректные данные" sqref="G35">
      <formula1>0</formula1>
      <formula2>9999</formula2>
    </dataValidation>
    <dataValidation type="whole" allowBlank="1" showInputMessage="1" showErrorMessage="1" errorTitle="Некоректные данные" sqref="G36">
      <formula1>0</formula1>
      <formula2>9999</formula2>
    </dataValidation>
    <dataValidation type="whole" allowBlank="1" showInputMessage="1" showErrorMessage="1" errorTitle="Некоректные данные" sqref="G37">
      <formula1>0</formula1>
      <formula2>9999</formula2>
    </dataValidation>
    <dataValidation type="whole" allowBlank="1" showInputMessage="1" showErrorMessage="1" errorTitle="Некоректные данные" sqref="G38">
      <formula1>0</formula1>
      <formula2>9999</formula2>
    </dataValidation>
    <dataValidation type="whole" allowBlank="1" showInputMessage="1" showErrorMessage="1" errorTitle="Некоректные данные" sqref="G39">
      <formula1>0</formula1>
      <formula2>9999</formula2>
    </dataValidation>
    <dataValidation type="whole" allowBlank="1" showInputMessage="1" showErrorMessage="1" errorTitle="Некоректные данные" sqref="G40">
      <formula1>0</formula1>
      <formula2>9999</formula2>
    </dataValidation>
    <dataValidation type="whole" allowBlank="1" showInputMessage="1" showErrorMessage="1" errorTitle="Некоректные данные" sqref="G41">
      <formula1>0</formula1>
      <formula2>9999</formula2>
    </dataValidation>
    <dataValidation type="whole" allowBlank="1" showInputMessage="1" showErrorMessage="1" errorTitle="Некоректные данные" sqref="G42">
      <formula1>0</formula1>
      <formula2>9999</formula2>
    </dataValidation>
    <dataValidation type="whole" allowBlank="1" showInputMessage="1" showErrorMessage="1" errorTitle="Некоректные данные" sqref="G43">
      <formula1>0</formula1>
      <formula2>9999</formula2>
    </dataValidation>
    <dataValidation type="whole" allowBlank="1" showInputMessage="1" showErrorMessage="1" errorTitle="Некоректные данные" sqref="G44">
      <formula1>0</formula1>
      <formula2>9999</formula2>
    </dataValidation>
    <dataValidation type="whole" allowBlank="1" showInputMessage="1" showErrorMessage="1" errorTitle="Некоректные данные" sqref="G45">
      <formula1>0</formula1>
      <formula2>9999</formula2>
    </dataValidation>
    <dataValidation type="whole" allowBlank="1" showInputMessage="1" showErrorMessage="1" errorTitle="Некоректные данные" sqref="G46">
      <formula1>0</formula1>
      <formula2>9999</formula2>
    </dataValidation>
    <dataValidation type="whole" allowBlank="1" showInputMessage="1" showErrorMessage="1" errorTitle="Некоректные данные" sqref="G47">
      <formula1>0</formula1>
      <formula2>9999</formula2>
    </dataValidation>
    <dataValidation type="whole" allowBlank="1" showInputMessage="1" showErrorMessage="1" errorTitle="Некоректные данные" sqref="G48">
      <formula1>0</formula1>
      <formula2>9999</formula2>
    </dataValidation>
    <dataValidation type="whole" allowBlank="1" showInputMessage="1" showErrorMessage="1" errorTitle="Некоректные данные" sqref="G49">
      <formula1>0</formula1>
      <formula2>9999</formula2>
    </dataValidation>
    <dataValidation type="whole" allowBlank="1" showInputMessage="1" showErrorMessage="1" errorTitle="Некоректные данные" sqref="G50">
      <formula1>0</formula1>
      <formula2>9999</formula2>
    </dataValidation>
    <dataValidation type="whole" allowBlank="1" showInputMessage="1" showErrorMessage="1" errorTitle="Некоректные данные" sqref="G51">
      <formula1>0</formula1>
      <formula2>9999</formula2>
    </dataValidation>
    <dataValidation type="whole" allowBlank="1" showInputMessage="1" showErrorMessage="1" errorTitle="Некоректные данные" sqref="G52">
      <formula1>0</formula1>
      <formula2>9999</formula2>
    </dataValidation>
    <dataValidation type="whole" allowBlank="1" showInputMessage="1" showErrorMessage="1" errorTitle="Некоректные данные" sqref="G53">
      <formula1>0</formula1>
      <formula2>9999</formula2>
    </dataValidation>
    <dataValidation type="whole" allowBlank="1" showInputMessage="1" showErrorMessage="1" errorTitle="Некоректные данные" sqref="G54">
      <formula1>0</formula1>
      <formula2>9999</formula2>
    </dataValidation>
    <dataValidation type="whole" allowBlank="1" showInputMessage="1" showErrorMessage="1" errorTitle="Некоректные данные" sqref="G55">
      <formula1>0</formula1>
      <formula2>9999</formula2>
    </dataValidation>
    <dataValidation type="whole" allowBlank="1" showInputMessage="1" showErrorMessage="1" errorTitle="Некоректные данные" sqref="G56">
      <formula1>0</formula1>
      <formula2>9999</formula2>
    </dataValidation>
    <dataValidation type="whole" allowBlank="1" showInputMessage="1" showErrorMessage="1" errorTitle="Некоректные данные" sqref="G57">
      <formula1>0</formula1>
      <formula2>9999</formula2>
    </dataValidation>
    <dataValidation type="whole" allowBlank="1" showInputMessage="1" showErrorMessage="1" errorTitle="Некоректные данные" sqref="G58">
      <formula1>0</formula1>
      <formula2>9999</formula2>
    </dataValidation>
    <dataValidation type="whole" allowBlank="1" showInputMessage="1" showErrorMessage="1" errorTitle="Некоректные данные" sqref="G59">
      <formula1>0</formula1>
      <formula2>9999</formula2>
    </dataValidation>
    <dataValidation type="whole" allowBlank="1" showInputMessage="1" showErrorMessage="1" errorTitle="Некоректные данные" sqref="G60">
      <formula1>0</formula1>
      <formula2>9999</formula2>
    </dataValidation>
    <dataValidation type="whole" allowBlank="1" showInputMessage="1" showErrorMessage="1" errorTitle="Некоректные данные" sqref="G61">
      <formula1>0</formula1>
      <formula2>9999</formula2>
    </dataValidation>
    <dataValidation type="whole" allowBlank="1" showInputMessage="1" showErrorMessage="1" errorTitle="Некоректные данные" sqref="G62">
      <formula1>0</formula1>
      <formula2>9999</formula2>
    </dataValidation>
    <dataValidation type="whole" allowBlank="1" showInputMessage="1" showErrorMessage="1" errorTitle="Некоректные данные" sqref="G63">
      <formula1>0</formula1>
      <formula2>9999</formula2>
    </dataValidation>
    <dataValidation type="whole" allowBlank="1" showInputMessage="1" showErrorMessage="1" errorTitle="Некоректные данные" sqref="G64">
      <formula1>0</formula1>
      <formula2>9999</formula2>
    </dataValidation>
    <dataValidation type="whole" allowBlank="1" showInputMessage="1" showErrorMessage="1" errorTitle="Некоректные данные" sqref="G65">
      <formula1>0</formula1>
      <formula2>9999</formula2>
    </dataValidation>
    <dataValidation type="whole" allowBlank="1" showInputMessage="1" showErrorMessage="1" errorTitle="Некоректные данные" sqref="G66">
      <formula1>0</formula1>
      <formula2>9999</formula2>
    </dataValidation>
    <dataValidation type="whole" allowBlank="1" showInputMessage="1" showErrorMessage="1" errorTitle="Некоректные данные" sqref="G67">
      <formula1>0</formula1>
      <formula2>9999</formula2>
    </dataValidation>
    <dataValidation type="whole" allowBlank="1" showInputMessage="1" showErrorMessage="1" errorTitle="Некоректные данные" sqref="G68">
      <formula1>0</formula1>
      <formula2>9999</formula2>
    </dataValidation>
    <dataValidation type="whole" allowBlank="1" showInputMessage="1" showErrorMessage="1" errorTitle="Некоректные данные" sqref="G69">
      <formula1>0</formula1>
      <formula2>9999</formula2>
    </dataValidation>
    <dataValidation type="whole" allowBlank="1" showInputMessage="1" showErrorMessage="1" errorTitle="Некоректные данные" sqref="G70">
      <formula1>0</formula1>
      <formula2>9999</formula2>
    </dataValidation>
    <dataValidation type="whole" allowBlank="1" showInputMessage="1" showErrorMessage="1" errorTitle="Некоректные данные" sqref="G71">
      <formula1>0</formula1>
      <formula2>9999</formula2>
    </dataValidation>
    <dataValidation type="whole" allowBlank="1" showInputMessage="1" showErrorMessage="1" errorTitle="Некоректные данные" sqref="G72">
      <formula1>0</formula1>
      <formula2>9999</formula2>
    </dataValidation>
    <dataValidation type="whole" allowBlank="1" showInputMessage="1" showErrorMessage="1" errorTitle="Некоректные данные" sqref="G73">
      <formula1>0</formula1>
      <formula2>9999</formula2>
    </dataValidation>
    <dataValidation type="whole" allowBlank="1" showInputMessage="1" showErrorMessage="1" errorTitle="Некоректные данные" sqref="G74">
      <formula1>0</formula1>
      <formula2>9999</formula2>
    </dataValidation>
    <dataValidation type="whole" allowBlank="1" showInputMessage="1" showErrorMessage="1" errorTitle="Некоректные данные" sqref="G75">
      <formula1>0</formula1>
      <formula2>9999</formula2>
    </dataValidation>
    <dataValidation type="whole" allowBlank="1" showInputMessage="1" showErrorMessage="1" errorTitle="Некоректные данные" sqref="G76">
      <formula1>0</formula1>
      <formula2>9999</formula2>
    </dataValidation>
    <dataValidation type="whole" allowBlank="1" showInputMessage="1" showErrorMessage="1" errorTitle="Некоректные данные" sqref="G77">
      <formula1>0</formula1>
      <formula2>9999</formula2>
    </dataValidation>
    <dataValidation type="whole" allowBlank="1" showInputMessage="1" showErrorMessage="1" errorTitle="Некоректные данные" sqref="G78">
      <formula1>0</formula1>
      <formula2>9999</formula2>
    </dataValidation>
    <dataValidation type="whole" allowBlank="1" showInputMessage="1" showErrorMessage="1" errorTitle="Некоректные данные" sqref="G79">
      <formula1>0</formula1>
      <formula2>9999</formula2>
    </dataValidation>
    <dataValidation type="whole" allowBlank="1" showInputMessage="1" showErrorMessage="1" errorTitle="Некоректные данные" sqref="G80">
      <formula1>0</formula1>
      <formula2>9999</formula2>
    </dataValidation>
    <dataValidation type="whole" allowBlank="1" showInputMessage="1" showErrorMessage="1" errorTitle="Некоректные данные" sqref="G81">
      <formula1>0</formula1>
      <formula2>9999</formula2>
    </dataValidation>
    <dataValidation type="whole" allowBlank="1" showInputMessage="1" showErrorMessage="1" errorTitle="Некоректные данные" sqref="G82">
      <formula1>0</formula1>
      <formula2>9999</formula2>
    </dataValidation>
    <dataValidation type="whole" allowBlank="1" showInputMessage="1" showErrorMessage="1" errorTitle="Некоректные данные" sqref="G83">
      <formula1>0</formula1>
      <formula2>9999</formula2>
    </dataValidation>
    <dataValidation type="whole" allowBlank="1" showInputMessage="1" showErrorMessage="1" errorTitle="Некоректные данные" sqref="G84">
      <formula1>0</formula1>
      <formula2>9999</formula2>
    </dataValidation>
    <dataValidation type="whole" allowBlank="1" showInputMessage="1" showErrorMessage="1" errorTitle="Некоректные данные" sqref="G85">
      <formula1>0</formula1>
      <formula2>9999</formula2>
    </dataValidation>
    <dataValidation type="whole" allowBlank="1" showInputMessage="1" showErrorMessage="1" errorTitle="Некоректные данные" sqref="G86">
      <formula1>0</formula1>
      <formula2>9999</formula2>
    </dataValidation>
    <dataValidation type="whole" allowBlank="1" showInputMessage="1" showErrorMessage="1" errorTitle="Некоректные данные" sqref="G87">
      <formula1>0</formula1>
      <formula2>9999</formula2>
    </dataValidation>
    <dataValidation type="whole" allowBlank="1" showInputMessage="1" showErrorMessage="1" errorTitle="Некоректные данные" sqref="G88">
      <formula1>0</formula1>
      <formula2>9999</formula2>
    </dataValidation>
    <dataValidation type="whole" allowBlank="1" showInputMessage="1" showErrorMessage="1" errorTitle="Некоректные данные" sqref="G89">
      <formula1>0</formula1>
      <formula2>9999</formula2>
    </dataValidation>
    <dataValidation type="whole" allowBlank="1" showInputMessage="1" showErrorMessage="1" errorTitle="Некоректные данные" sqref="G90">
      <formula1>0</formula1>
      <formula2>9999</formula2>
    </dataValidation>
    <dataValidation type="whole" allowBlank="1" showInputMessage="1" showErrorMessage="1" errorTitle="Некоректные данные" sqref="G91">
      <formula1>0</formula1>
      <formula2>9999</formula2>
    </dataValidation>
    <dataValidation type="whole" allowBlank="1" showInputMessage="1" showErrorMessage="1" errorTitle="Некоректные данные" sqref="G92">
      <formula1>0</formula1>
      <formula2>9999</formula2>
    </dataValidation>
    <dataValidation type="whole" allowBlank="1" showInputMessage="1" showErrorMessage="1" errorTitle="Некоректные данные" sqref="G93">
      <formula1>0</formula1>
      <formula2>9999</formula2>
    </dataValidation>
    <dataValidation type="whole" allowBlank="1" showInputMessage="1" showErrorMessage="1" errorTitle="Некоректные данные" sqref="G94">
      <formula1>0</formula1>
      <formula2>9999</formula2>
    </dataValidation>
    <dataValidation type="whole" allowBlank="1" showInputMessage="1" showErrorMessage="1" errorTitle="Некоректные данные" sqref="G95">
      <formula1>0</formula1>
      <formula2>9999</formula2>
    </dataValidation>
    <dataValidation type="whole" allowBlank="1" showInputMessage="1" showErrorMessage="1" errorTitle="Некоректные данные" sqref="G96">
      <formula1>0</formula1>
      <formula2>9999</formula2>
    </dataValidation>
    <dataValidation type="whole" allowBlank="1" showInputMessage="1" showErrorMessage="1" errorTitle="Некоректные данные" sqref="G97">
      <formula1>0</formula1>
      <formula2>9999</formula2>
    </dataValidation>
    <dataValidation type="whole" allowBlank="1" showInputMessage="1" showErrorMessage="1" errorTitle="Некоректные данные" sqref="G98">
      <formula1>0</formula1>
      <formula2>9999</formula2>
    </dataValidation>
    <dataValidation type="whole" allowBlank="1" showInputMessage="1" showErrorMessage="1" errorTitle="Некоректные данные" sqref="G99">
      <formula1>0</formula1>
      <formula2>9999</formula2>
    </dataValidation>
    <dataValidation type="whole" allowBlank="1" showInputMessage="1" showErrorMessage="1" errorTitle="Некоректные данные" sqref="G100">
      <formula1>0</formula1>
      <formula2>9999</formula2>
    </dataValidation>
    <dataValidation type="whole" allowBlank="1" showInputMessage="1" showErrorMessage="1" errorTitle="Некоректные данные" sqref="G101">
      <formula1>0</formula1>
      <formula2>9999</formula2>
    </dataValidation>
    <dataValidation type="whole" allowBlank="1" showInputMessage="1" showErrorMessage="1" errorTitle="Некоректные данные" sqref="G102">
      <formula1>0</formula1>
      <formula2>9999</formula2>
    </dataValidation>
    <dataValidation type="whole" allowBlank="1" showInputMessage="1" showErrorMessage="1" errorTitle="Некоректные данные" sqref="G103">
      <formula1>0</formula1>
      <formula2>9999</formula2>
    </dataValidation>
    <dataValidation type="whole" allowBlank="1" showInputMessage="1" showErrorMessage="1" errorTitle="Некоректные данные" sqref="G104">
      <formula1>0</formula1>
      <formula2>9999</formula2>
    </dataValidation>
    <dataValidation type="whole" allowBlank="1" showInputMessage="1" showErrorMessage="1" errorTitle="Некоректные данные" sqref="G105">
      <formula1>0</formula1>
      <formula2>9999</formula2>
    </dataValidation>
    <dataValidation type="whole" allowBlank="1" showInputMessage="1" showErrorMessage="1" errorTitle="Некоректные данные" sqref="G106">
      <formula1>0</formula1>
      <formula2>9999</formula2>
    </dataValidation>
    <dataValidation type="whole" allowBlank="1" showInputMessage="1" showErrorMessage="1" errorTitle="Некоректные данные" sqref="G107">
      <formula1>0</formula1>
      <formula2>9999</formula2>
    </dataValidation>
    <dataValidation type="whole" allowBlank="1" showInputMessage="1" showErrorMessage="1" errorTitle="Некоректные данные" sqref="G108">
      <formula1>0</formula1>
      <formula2>9999</formula2>
    </dataValidation>
    <dataValidation type="whole" allowBlank="1" showInputMessage="1" showErrorMessage="1" errorTitle="Некоректные данные" sqref="G109">
      <formula1>0</formula1>
      <formula2>9999</formula2>
    </dataValidation>
    <dataValidation type="whole" allowBlank="1" showInputMessage="1" showErrorMessage="1" errorTitle="Некоректные данные" sqref="G110">
      <formula1>0</formula1>
      <formula2>9999</formula2>
    </dataValidation>
    <dataValidation type="whole" allowBlank="1" showInputMessage="1" showErrorMessage="1" errorTitle="Некоректные данные" sqref="G111">
      <formula1>0</formula1>
      <formula2>9999</formula2>
    </dataValidation>
    <dataValidation type="whole" allowBlank="1" showInputMessage="1" showErrorMessage="1" errorTitle="Некоректные данные" sqref="G112">
      <formula1>0</formula1>
      <formula2>9999</formula2>
    </dataValidation>
    <dataValidation type="whole" allowBlank="1" showInputMessage="1" showErrorMessage="1" errorTitle="Некоректные данные" sqref="G113">
      <formula1>0</formula1>
      <formula2>9999</formula2>
    </dataValidation>
    <dataValidation type="whole" allowBlank="1" showInputMessage="1" showErrorMessage="1" errorTitle="Некоректные данные" sqref="G114">
      <formula1>0</formula1>
      <formula2>9999</formula2>
    </dataValidation>
    <dataValidation type="whole" allowBlank="1" showInputMessage="1" showErrorMessage="1" errorTitle="Некоректные данные" sqref="G115">
      <formula1>0</formula1>
      <formula2>9999</formula2>
    </dataValidation>
    <dataValidation type="whole" allowBlank="1" showInputMessage="1" showErrorMessage="1" errorTitle="Некоректные данные" sqref="G116">
      <formula1>0</formula1>
      <formula2>9999</formula2>
    </dataValidation>
    <dataValidation type="whole" allowBlank="1" showInputMessage="1" showErrorMessage="1" errorTitle="Некоректные данные" sqref="G117">
      <formula1>0</formula1>
      <formula2>9999</formula2>
    </dataValidation>
    <dataValidation type="whole" allowBlank="1" showInputMessage="1" showErrorMessage="1" errorTitle="Некоректные данные" sqref="G118">
      <formula1>0</formula1>
      <formula2>9999</formula2>
    </dataValidation>
    <dataValidation type="whole" allowBlank="1" showInputMessage="1" showErrorMessage="1" errorTitle="Некоректные данные" sqref="G119">
      <formula1>0</formula1>
      <formula2>9999</formula2>
    </dataValidation>
    <dataValidation type="whole" allowBlank="1" showInputMessage="1" showErrorMessage="1" errorTitle="Некоректные данные" sqref="G120">
      <formula1>0</formula1>
      <formula2>9999</formula2>
    </dataValidation>
    <dataValidation type="whole" allowBlank="1" showInputMessage="1" showErrorMessage="1" errorTitle="Некоректные данные" sqref="G121">
      <formula1>0</formula1>
      <formula2>9999</formula2>
    </dataValidation>
    <dataValidation type="whole" allowBlank="1" showInputMessage="1" showErrorMessage="1" errorTitle="Некоректные данные" sqref="G122">
      <formula1>0</formula1>
      <formula2>9999</formula2>
    </dataValidation>
    <dataValidation type="whole" allowBlank="1" showInputMessage="1" showErrorMessage="1" errorTitle="Некоректные данные" sqref="G123">
      <formula1>0</formula1>
      <formula2>9999</formula2>
    </dataValidation>
    <dataValidation type="whole" allowBlank="1" showInputMessage="1" showErrorMessage="1" errorTitle="Некоректные данные" sqref="G124">
      <formula1>0</formula1>
      <formula2>9999</formula2>
    </dataValidation>
    <dataValidation type="whole" allowBlank="1" showInputMessage="1" showErrorMessage="1" errorTitle="Некоректные данные" sqref="G125">
      <formula1>0</formula1>
      <formula2>9999</formula2>
    </dataValidation>
    <dataValidation type="whole" allowBlank="1" showInputMessage="1" showErrorMessage="1" errorTitle="Некоректные данные" sqref="G126">
      <formula1>0</formula1>
      <formula2>9999</formula2>
    </dataValidation>
    <dataValidation type="whole" allowBlank="1" showInputMessage="1" showErrorMessage="1" errorTitle="Некоректные данные" sqref="G127">
      <formula1>0</formula1>
      <formula2>9999</formula2>
    </dataValidation>
    <dataValidation type="whole" allowBlank="1" showInputMessage="1" showErrorMessage="1" errorTitle="Некоректные данные" sqref="G128">
      <formula1>0</formula1>
      <formula2>9999</formula2>
    </dataValidation>
    <dataValidation type="whole" allowBlank="1" showInputMessage="1" showErrorMessage="1" errorTitle="Некоректные данные" sqref="G129">
      <formula1>0</formula1>
      <formula2>9999</formula2>
    </dataValidation>
    <dataValidation type="whole" allowBlank="1" showInputMessage="1" showErrorMessage="1" errorTitle="Некоректные данные" sqref="G130">
      <formula1>0</formula1>
      <formula2>9999</formula2>
    </dataValidation>
    <dataValidation type="whole" allowBlank="1" showInputMessage="1" showErrorMessage="1" errorTitle="Некоректные данные" sqref="G131">
      <formula1>0</formula1>
      <formula2>9999</formula2>
    </dataValidation>
    <dataValidation type="whole" allowBlank="1" showInputMessage="1" showErrorMessage="1" errorTitle="Некоректные данные" sqref="G132">
      <formula1>0</formula1>
      <formula2>9999</formula2>
    </dataValidation>
    <dataValidation type="whole" allowBlank="1" showInputMessage="1" showErrorMessage="1" errorTitle="Некоректные данные" sqref="G133">
      <formula1>0</formula1>
      <formula2>9999</formula2>
    </dataValidation>
    <dataValidation type="whole" allowBlank="1" showInputMessage="1" showErrorMessage="1" errorTitle="Некоректные данные" sqref="G134">
      <formula1>0</formula1>
      <formula2>9999</formula2>
    </dataValidation>
    <dataValidation type="whole" allowBlank="1" showInputMessage="1" showErrorMessage="1" errorTitle="Некоректные данные" sqref="G135">
      <formula1>0</formula1>
      <formula2>9999</formula2>
    </dataValidation>
    <dataValidation type="whole" allowBlank="1" showInputMessage="1" showErrorMessage="1" errorTitle="Некоректные данные" sqref="G136">
      <formula1>0</formula1>
      <formula2>9999</formula2>
    </dataValidation>
    <dataValidation type="whole" allowBlank="1" showInputMessage="1" showErrorMessage="1" errorTitle="Некоректные данные" sqref="G137">
      <formula1>0</formula1>
      <formula2>9999</formula2>
    </dataValidation>
    <dataValidation type="whole" allowBlank="1" showInputMessage="1" showErrorMessage="1" errorTitle="Некоректные данные" sqref="G138">
      <formula1>0</formula1>
      <formula2>9999</formula2>
    </dataValidation>
    <dataValidation type="whole" allowBlank="1" showInputMessage="1" showErrorMessage="1" errorTitle="Некоректные данные" sqref="G139">
      <formula1>0</formula1>
      <formula2>9999</formula2>
    </dataValidation>
    <dataValidation type="whole" allowBlank="1" showInputMessage="1" showErrorMessage="1" errorTitle="Некоректные данные" sqref="G140">
      <formula1>0</formula1>
      <formula2>9999</formula2>
    </dataValidation>
    <dataValidation type="whole" allowBlank="1" showInputMessage="1" showErrorMessage="1" errorTitle="Некоректные данные" sqref="G141">
      <formula1>0</formula1>
      <formula2>9999</formula2>
    </dataValidation>
    <dataValidation type="whole" allowBlank="1" showInputMessage="1" showErrorMessage="1" errorTitle="Некоректные данные" sqref="G142">
      <formula1>0</formula1>
      <formula2>9999</formula2>
    </dataValidation>
    <dataValidation type="whole" allowBlank="1" showInputMessage="1" showErrorMessage="1" errorTitle="Некоректные данные" sqref="G143">
      <formula1>0</formula1>
      <formula2>9999</formula2>
    </dataValidation>
    <dataValidation type="whole" allowBlank="1" showInputMessage="1" showErrorMessage="1" errorTitle="Некоректные данные" sqref="G144">
      <formula1>0</formula1>
      <formula2>9999</formula2>
    </dataValidation>
    <dataValidation type="whole" allowBlank="1" showInputMessage="1" showErrorMessage="1" errorTitle="Некоректные данные" sqref="G145">
      <formula1>0</formula1>
      <formula2>9999</formula2>
    </dataValidation>
    <dataValidation type="whole" allowBlank="1" showInputMessage="1" showErrorMessage="1" errorTitle="Некоректные данные" sqref="G146">
      <formula1>0</formula1>
      <formula2>9999</formula2>
    </dataValidation>
    <dataValidation type="whole" allowBlank="1" showInputMessage="1" showErrorMessage="1" errorTitle="Некоректные данные" sqref="G147">
      <formula1>0</formula1>
      <formula2>9999</formula2>
    </dataValidation>
    <dataValidation type="whole" allowBlank="1" showInputMessage="1" showErrorMessage="1" errorTitle="Некоректные данные" sqref="G148">
      <formula1>0</formula1>
      <formula2>9999</formula2>
    </dataValidation>
    <dataValidation type="whole" allowBlank="1" showInputMessage="1" showErrorMessage="1" errorTitle="Некоректные данные" sqref="G149">
      <formula1>0</formula1>
      <formula2>9999</formula2>
    </dataValidation>
    <dataValidation type="whole" allowBlank="1" showInputMessage="1" showErrorMessage="1" errorTitle="Некоректные данные" sqref="G150">
      <formula1>0</formula1>
      <formula2>9999</formula2>
    </dataValidation>
    <dataValidation type="whole" allowBlank="1" showInputMessage="1" showErrorMessage="1" errorTitle="Некоректные данные" sqref="G151">
      <formula1>0</formula1>
      <formula2>9999</formula2>
    </dataValidation>
    <dataValidation type="whole" allowBlank="1" showInputMessage="1" showErrorMessage="1" errorTitle="Некоректные данные" sqref="G152">
      <formula1>0</formula1>
      <formula2>9999</formula2>
    </dataValidation>
    <dataValidation type="whole" allowBlank="1" showInputMessage="1" showErrorMessage="1" errorTitle="Некоректные данные" sqref="G153">
      <formula1>0</formula1>
      <formula2>9999</formula2>
    </dataValidation>
    <dataValidation type="whole" allowBlank="1" showInputMessage="1" showErrorMessage="1" errorTitle="Некоректные данные" sqref="G154">
      <formula1>0</formula1>
      <formula2>9999</formula2>
    </dataValidation>
    <dataValidation type="whole" allowBlank="1" showInputMessage="1" showErrorMessage="1" errorTitle="Некоректные данные" sqref="G155">
      <formula1>0</formula1>
      <formula2>9999</formula2>
    </dataValidation>
    <dataValidation type="whole" allowBlank="1" showInputMessage="1" showErrorMessage="1" errorTitle="Некоректные данные" sqref="G156">
      <formula1>0</formula1>
      <formula2>9999</formula2>
    </dataValidation>
    <dataValidation type="whole" allowBlank="1" showInputMessage="1" showErrorMessage="1" errorTitle="Некоректные данные" sqref="G157">
      <formula1>0</formula1>
      <formula2>9999</formula2>
    </dataValidation>
    <dataValidation type="whole" allowBlank="1" showInputMessage="1" showErrorMessage="1" errorTitle="Некоректные данные" sqref="G158">
      <formula1>0</formula1>
      <formula2>9999</formula2>
    </dataValidation>
    <dataValidation type="whole" allowBlank="1" showInputMessage="1" showErrorMessage="1" errorTitle="Некоректные данные" sqref="G159">
      <formula1>0</formula1>
      <formula2>9999</formula2>
    </dataValidation>
    <dataValidation type="whole" allowBlank="1" showInputMessage="1" showErrorMessage="1" errorTitle="Некоректные данные" sqref="G160">
      <formula1>0</formula1>
      <formula2>9999</formula2>
    </dataValidation>
    <dataValidation type="whole" allowBlank="1" showInputMessage="1" showErrorMessage="1" errorTitle="Некоректные данные" sqref="G161">
      <formula1>0</formula1>
      <formula2>9999</formula2>
    </dataValidation>
    <dataValidation type="whole" allowBlank="1" showInputMessage="1" showErrorMessage="1" errorTitle="Некоректные данные" sqref="G162">
      <formula1>0</formula1>
      <formula2>9999</formula2>
    </dataValidation>
    <dataValidation type="whole" allowBlank="1" showInputMessage="1" showErrorMessage="1" errorTitle="Некоректные данные" sqref="G163">
      <formula1>0</formula1>
      <formula2>9999</formula2>
    </dataValidation>
    <dataValidation type="whole" allowBlank="1" showInputMessage="1" showErrorMessage="1" errorTitle="Некоректные данные" sqref="G164">
      <formula1>0</formula1>
      <formula2>9999</formula2>
    </dataValidation>
    <dataValidation type="whole" allowBlank="1" showInputMessage="1" showErrorMessage="1" errorTitle="Некоректные данные" sqref="G165">
      <formula1>0</formula1>
      <formula2>9999</formula2>
    </dataValidation>
    <dataValidation type="whole" allowBlank="1" showInputMessage="1" showErrorMessage="1" errorTitle="Некоректные данные" sqref="G166">
      <formula1>0</formula1>
      <formula2>9999</formula2>
    </dataValidation>
    <dataValidation type="whole" allowBlank="1" showInputMessage="1" showErrorMessage="1" errorTitle="Некоректные данные" sqref="G167">
      <formula1>0</formula1>
      <formula2>9999</formula2>
    </dataValidation>
    <dataValidation type="whole" allowBlank="1" showInputMessage="1" showErrorMessage="1" errorTitle="Некоректные данные" sqref="G168">
      <formula1>0</formula1>
      <formula2>9999</formula2>
    </dataValidation>
    <dataValidation type="whole" allowBlank="1" showInputMessage="1" showErrorMessage="1" errorTitle="Некоректные данные" sqref="G169">
      <formula1>0</formula1>
      <formula2>9999</formula2>
    </dataValidation>
    <dataValidation type="whole" allowBlank="1" showInputMessage="1" showErrorMessage="1" errorTitle="Некоректные данные" sqref="G170">
      <formula1>0</formula1>
      <formula2>9999</formula2>
    </dataValidation>
    <dataValidation type="whole" allowBlank="1" showInputMessage="1" showErrorMessage="1" errorTitle="Некоректные данные" sqref="G171">
      <formula1>0</formula1>
      <formula2>9999</formula2>
    </dataValidation>
    <dataValidation type="whole" allowBlank="1" showInputMessage="1" showErrorMessage="1" errorTitle="Некоректные данные" sqref="G172">
      <formula1>0</formula1>
      <formula2>9999</formula2>
    </dataValidation>
    <dataValidation type="whole" allowBlank="1" showInputMessage="1" showErrorMessage="1" errorTitle="Некоректные данные" sqref="G173">
      <formula1>0</formula1>
      <formula2>9999</formula2>
    </dataValidation>
    <dataValidation type="whole" allowBlank="1" showInputMessage="1" showErrorMessage="1" errorTitle="Некоректные данные" sqref="G174">
      <formula1>0</formula1>
      <formula2>9999</formula2>
    </dataValidation>
    <dataValidation type="whole" allowBlank="1" showInputMessage="1" showErrorMessage="1" errorTitle="Некоректные данные" sqref="G175">
      <formula1>0</formula1>
      <formula2>9999</formula2>
    </dataValidation>
    <dataValidation type="whole" allowBlank="1" showInputMessage="1" showErrorMessage="1" errorTitle="Некоректные данные" sqref="G176">
      <formula1>0</formula1>
      <formula2>9999</formula2>
    </dataValidation>
    <dataValidation type="whole" allowBlank="1" showInputMessage="1" showErrorMessage="1" errorTitle="Некоректные данные" sqref="G177">
      <formula1>0</formula1>
      <formula2>9999</formula2>
    </dataValidation>
    <dataValidation type="whole" allowBlank="1" showInputMessage="1" showErrorMessage="1" errorTitle="Некоректные данные" sqref="G178">
      <formula1>0</formula1>
      <formula2>9999</formula2>
    </dataValidation>
    <dataValidation type="whole" allowBlank="1" showInputMessage="1" showErrorMessage="1" errorTitle="Некоректные данные" sqref="G179">
      <formula1>0</formula1>
      <formula2>9999</formula2>
    </dataValidation>
    <dataValidation type="whole" allowBlank="1" showInputMessage="1" showErrorMessage="1" errorTitle="Некоректные данные" sqref="G180">
      <formula1>0</formula1>
      <formula2>9999</formula2>
    </dataValidation>
    <dataValidation type="whole" allowBlank="1" showInputMessage="1" showErrorMessage="1" errorTitle="Некоректные данные" sqref="G181">
      <formula1>0</formula1>
      <formula2>9999</formula2>
    </dataValidation>
    <dataValidation type="whole" allowBlank="1" showInputMessage="1" showErrorMessage="1" errorTitle="Некоректные данные" sqref="G182">
      <formula1>0</formula1>
      <formula2>9999</formula2>
    </dataValidation>
    <dataValidation type="whole" allowBlank="1" showInputMessage="1" showErrorMessage="1" errorTitle="Некоректные данные" sqref="G183">
      <formula1>0</formula1>
      <formula2>9999</formula2>
    </dataValidation>
  </dataValidations>
  <printOptions/>
  <pageMargins left="0.75" right="1" top="0.75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created xsi:type="dcterms:W3CDTF">2024-05-10T20:48:38Z</dcterms:created>
  <dcterms:modified xsi:type="dcterms:W3CDTF">2024-05-10T20:48:38Z</dcterms:modified>
  <cp:category/>
  <cp:version/>
  <cp:contentType/>
  <cp:contentStatus/>
</cp:coreProperties>
</file>